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221090\Desktop\URBANISMO\ESCOLA GUARANI\PLANILHA ORÇAMENTÁRIA\"/>
    </mc:Choice>
  </mc:AlternateContent>
  <xr:revisionPtr revIDLastSave="0" documentId="13_ncr:1_{2C1C90B3-565C-4774-B18C-75FBAB8CBB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 ORÇAMENTÁRIA" sheetId="1" r:id="rId1"/>
    <sheet name="CRONOGRA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1" l="1"/>
  <c r="N26" i="1"/>
  <c r="N33" i="1"/>
  <c r="N38" i="1"/>
  <c r="N45" i="1"/>
  <c r="N49" i="1"/>
  <c r="N54" i="1"/>
  <c r="N59" i="1"/>
  <c r="N61" i="1"/>
  <c r="N68" i="1"/>
  <c r="N76" i="1"/>
  <c r="N81" i="1"/>
  <c r="N89" i="1"/>
  <c r="N96" i="1"/>
  <c r="N99" i="1"/>
  <c r="N109" i="1"/>
  <c r="N115" i="1"/>
  <c r="N125" i="1"/>
  <c r="N136" i="1"/>
  <c r="N143" i="1"/>
  <c r="N148" i="1"/>
  <c r="N158" i="1"/>
  <c r="N162" i="1"/>
  <c r="N167" i="1"/>
  <c r="N171" i="1"/>
  <c r="N173" i="1"/>
  <c r="N180" i="1"/>
  <c r="N189" i="1"/>
  <c r="N206" i="1"/>
  <c r="N213" i="1"/>
  <c r="N220" i="1"/>
  <c r="N223" i="1"/>
  <c r="N233" i="1"/>
  <c r="N239" i="1"/>
  <c r="M216" i="1"/>
  <c r="N216" i="1" s="1"/>
  <c r="M198" i="1"/>
  <c r="N198" i="1" s="1"/>
  <c r="K157" i="1"/>
  <c r="M157" i="1"/>
  <c r="K150" i="1"/>
  <c r="K151" i="1"/>
  <c r="K145" i="1"/>
  <c r="K29" i="1"/>
  <c r="K28" i="1"/>
  <c r="F36" i="2"/>
  <c r="L36" i="2"/>
  <c r="J36" i="2"/>
  <c r="I36" i="2"/>
  <c r="K36" i="2" s="1"/>
  <c r="M36" i="2" s="1"/>
  <c r="H36" i="2"/>
  <c r="K244" i="1"/>
  <c r="M244" i="1"/>
  <c r="K156" i="1"/>
  <c r="M156" i="1"/>
  <c r="K155" i="1"/>
  <c r="M155" i="1"/>
  <c r="M150" i="1"/>
  <c r="N150" i="1" s="1"/>
  <c r="M154" i="1"/>
  <c r="N154" i="1" s="1"/>
  <c r="K101" i="1"/>
  <c r="M70" i="1"/>
  <c r="N70" i="1" s="1"/>
  <c r="K57" i="1"/>
  <c r="K56" i="1"/>
  <c r="K35" i="1"/>
  <c r="K37" i="1"/>
  <c r="K34" i="1"/>
  <c r="M67" i="1"/>
  <c r="K67" i="1"/>
  <c r="M88" i="1"/>
  <c r="N88" i="1" s="1"/>
  <c r="K31" i="1" l="1"/>
  <c r="N157" i="1"/>
  <c r="N156" i="1"/>
  <c r="N244" i="1"/>
  <c r="N155" i="1"/>
  <c r="N67" i="1"/>
  <c r="M238" i="1"/>
  <c r="N238" i="1" s="1"/>
  <c r="M112" i="1" l="1"/>
  <c r="N112" i="1" s="1"/>
  <c r="M111" i="1"/>
  <c r="N111" i="1" s="1"/>
  <c r="M79" i="1"/>
  <c r="N79" i="1" s="1"/>
  <c r="M92" i="1"/>
  <c r="N92" i="1" s="1"/>
  <c r="M44" i="1"/>
  <c r="K44" i="1"/>
  <c r="K20" i="2"/>
  <c r="K21" i="2"/>
  <c r="K22" i="2"/>
  <c r="K23" i="2"/>
  <c r="I16" i="2"/>
  <c r="I17" i="2"/>
  <c r="I18" i="2"/>
  <c r="I19" i="2"/>
  <c r="I20" i="2"/>
  <c r="I21" i="2"/>
  <c r="I22" i="2"/>
  <c r="I23" i="2"/>
  <c r="G14" i="2"/>
  <c r="G15" i="2"/>
  <c r="G16" i="2"/>
  <c r="G17" i="2"/>
  <c r="G18" i="2"/>
  <c r="G19" i="2"/>
  <c r="G20" i="2"/>
  <c r="G21" i="2"/>
  <c r="G22" i="2"/>
  <c r="G23" i="2"/>
  <c r="G13" i="2"/>
  <c r="M243" i="1"/>
  <c r="N243" i="1" s="1"/>
  <c r="M123" i="1"/>
  <c r="M188" i="1"/>
  <c r="N188" i="1" s="1"/>
  <c r="M187" i="1"/>
  <c r="N187" i="1" s="1"/>
  <c r="M78" i="1"/>
  <c r="N78" i="1" s="1"/>
  <c r="M77" i="1"/>
  <c r="N77" i="1" s="1"/>
  <c r="M204" i="1"/>
  <c r="N204" i="1" s="1"/>
  <c r="M197" i="1"/>
  <c r="N197" i="1" s="1"/>
  <c r="M194" i="1"/>
  <c r="N194" i="1" s="1"/>
  <c r="M195" i="1"/>
  <c r="N195" i="1" s="1"/>
  <c r="M196" i="1"/>
  <c r="N196" i="1" s="1"/>
  <c r="M199" i="1"/>
  <c r="N199" i="1" s="1"/>
  <c r="M200" i="1"/>
  <c r="N200" i="1" s="1"/>
  <c r="M201" i="1"/>
  <c r="N201" i="1" s="1"/>
  <c r="M202" i="1"/>
  <c r="N202" i="1" s="1"/>
  <c r="M203" i="1"/>
  <c r="N203" i="1" s="1"/>
  <c r="M192" i="1"/>
  <c r="N192" i="1" s="1"/>
  <c r="M193" i="1"/>
  <c r="N193" i="1" s="1"/>
  <c r="M191" i="1"/>
  <c r="N191" i="1" s="1"/>
  <c r="M190" i="1"/>
  <c r="N190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71" i="1"/>
  <c r="N71" i="1" s="1"/>
  <c r="M72" i="1"/>
  <c r="N72" i="1" s="1"/>
  <c r="M73" i="1"/>
  <c r="N73" i="1" s="1"/>
  <c r="M74" i="1"/>
  <c r="N74" i="1" s="1"/>
  <c r="M75" i="1"/>
  <c r="N75" i="1" s="1"/>
  <c r="M69" i="1"/>
  <c r="N69" i="1" s="1"/>
  <c r="M241" i="1"/>
  <c r="N241" i="1" s="1"/>
  <c r="M240" i="1"/>
  <c r="N240" i="1" s="1"/>
  <c r="K235" i="1"/>
  <c r="M235" i="1"/>
  <c r="K236" i="1"/>
  <c r="K232" i="1"/>
  <c r="K226" i="1"/>
  <c r="M232" i="1"/>
  <c r="M231" i="1"/>
  <c r="N231" i="1" s="1"/>
  <c r="M230" i="1"/>
  <c r="N230" i="1" s="1"/>
  <c r="K222" i="1"/>
  <c r="K221" i="1"/>
  <c r="M222" i="1"/>
  <c r="M221" i="1"/>
  <c r="K174" i="1"/>
  <c r="D17" i="2" l="1"/>
  <c r="N44" i="1"/>
  <c r="D29" i="2"/>
  <c r="D18" i="2"/>
  <c r="D30" i="2"/>
  <c r="N123" i="1"/>
  <c r="N232" i="1"/>
  <c r="N235" i="1"/>
  <c r="N222" i="1"/>
  <c r="N221" i="1"/>
  <c r="N122" i="1" l="1"/>
  <c r="D23" i="2" s="1"/>
  <c r="K211" i="1"/>
  <c r="K218" i="1"/>
  <c r="M218" i="1"/>
  <c r="M211" i="1"/>
  <c r="M215" i="1"/>
  <c r="N215" i="1" s="1"/>
  <c r="M212" i="1"/>
  <c r="N212" i="1" s="1"/>
  <c r="M209" i="1"/>
  <c r="K209" i="1"/>
  <c r="M208" i="1"/>
  <c r="K208" i="1"/>
  <c r="M219" i="1"/>
  <c r="N219" i="1" s="1"/>
  <c r="K161" i="1"/>
  <c r="M160" i="1"/>
  <c r="N160" i="1" s="1"/>
  <c r="M161" i="1"/>
  <c r="M159" i="1"/>
  <c r="K159" i="1"/>
  <c r="M176" i="1"/>
  <c r="N176" i="1" s="1"/>
  <c r="M177" i="1"/>
  <c r="N177" i="1" s="1"/>
  <c r="M178" i="1"/>
  <c r="N178" i="1" s="1"/>
  <c r="K170" i="1"/>
  <c r="K169" i="1"/>
  <c r="M170" i="1"/>
  <c r="K144" i="1"/>
  <c r="M144" i="1"/>
  <c r="K138" i="1"/>
  <c r="K166" i="1"/>
  <c r="K165" i="1"/>
  <c r="K164" i="1"/>
  <c r="K163" i="1"/>
  <c r="K152" i="1"/>
  <c r="K149" i="1"/>
  <c r="K147" i="1"/>
  <c r="K146" i="1"/>
  <c r="M147" i="1"/>
  <c r="M145" i="1"/>
  <c r="M146" i="1"/>
  <c r="K139" i="1"/>
  <c r="K134" i="1"/>
  <c r="M134" i="1"/>
  <c r="K132" i="1"/>
  <c r="K130" i="1"/>
  <c r="K127" i="1"/>
  <c r="K126" i="1"/>
  <c r="K48" i="1"/>
  <c r="K108" i="1"/>
  <c r="K106" i="1"/>
  <c r="K103" i="1"/>
  <c r="K102" i="1"/>
  <c r="M103" i="1"/>
  <c r="M101" i="1"/>
  <c r="M102" i="1"/>
  <c r="M104" i="1"/>
  <c r="K104" i="1"/>
  <c r="K98" i="1"/>
  <c r="K97" i="1"/>
  <c r="K94" i="1"/>
  <c r="K91" i="1"/>
  <c r="K86" i="1"/>
  <c r="K84" i="1"/>
  <c r="K83" i="1"/>
  <c r="M63" i="1"/>
  <c r="N63" i="1" s="1"/>
  <c r="K58" i="1"/>
  <c r="K36" i="1"/>
  <c r="K39" i="1"/>
  <c r="K41" i="1"/>
  <c r="K40" i="1"/>
  <c r="K53" i="1"/>
  <c r="K52" i="1"/>
  <c r="K51" i="1"/>
  <c r="K50" i="1"/>
  <c r="K42" i="1"/>
  <c r="K21" i="1"/>
  <c r="M42" i="1"/>
  <c r="M47" i="1"/>
  <c r="N47" i="1" s="1"/>
  <c r="M48" i="1"/>
  <c r="M46" i="1"/>
  <c r="K46" i="1"/>
  <c r="M106" i="1"/>
  <c r="M108" i="1"/>
  <c r="M107" i="1"/>
  <c r="M98" i="1"/>
  <c r="M97" i="1"/>
  <c r="M60" i="1"/>
  <c r="N60" i="1" s="1"/>
  <c r="N211" i="1" l="1"/>
  <c r="K141" i="1"/>
  <c r="N218" i="1"/>
  <c r="N209" i="1"/>
  <c r="N208" i="1"/>
  <c r="N161" i="1"/>
  <c r="N159" i="1"/>
  <c r="N170" i="1"/>
  <c r="N144" i="1"/>
  <c r="N147" i="1"/>
  <c r="N146" i="1"/>
  <c r="N145" i="1"/>
  <c r="N134" i="1"/>
  <c r="N97" i="1"/>
  <c r="N102" i="1"/>
  <c r="N101" i="1"/>
  <c r="N103" i="1"/>
  <c r="N104" i="1"/>
  <c r="N98" i="1"/>
  <c r="N46" i="1"/>
  <c r="N48" i="1"/>
  <c r="N106" i="1"/>
  <c r="N108" i="1"/>
  <c r="N107" i="1"/>
  <c r="M94" i="1"/>
  <c r="M91" i="1"/>
  <c r="M66" i="1"/>
  <c r="N66" i="1" s="1"/>
  <c r="M121" i="1"/>
  <c r="N121" i="1" s="1"/>
  <c r="M120" i="1"/>
  <c r="N120" i="1" s="1"/>
  <c r="M119" i="1"/>
  <c r="N119" i="1" s="1"/>
  <c r="M118" i="1"/>
  <c r="K118" i="1"/>
  <c r="M117" i="1"/>
  <c r="N117" i="1" s="1"/>
  <c r="M116" i="1"/>
  <c r="N116" i="1" s="1"/>
  <c r="M87" i="1"/>
  <c r="N87" i="1" s="1"/>
  <c r="M86" i="1"/>
  <c r="M58" i="1"/>
  <c r="M57" i="1"/>
  <c r="M56" i="1"/>
  <c r="M53" i="1"/>
  <c r="N53" i="1" s="1"/>
  <c r="M52" i="1"/>
  <c r="M51" i="1"/>
  <c r="M43" i="1"/>
  <c r="N43" i="1" s="1"/>
  <c r="N42" i="1"/>
  <c r="M40" i="1"/>
  <c r="N40" i="1" s="1"/>
  <c r="M41" i="1"/>
  <c r="N41" i="1" s="1"/>
  <c r="M34" i="1"/>
  <c r="N34" i="1" s="1"/>
  <c r="M37" i="1"/>
  <c r="N37" i="1" s="1"/>
  <c r="M35" i="1"/>
  <c r="M36" i="1"/>
  <c r="N36" i="1" s="1"/>
  <c r="M25" i="1"/>
  <c r="N25" i="1" s="1"/>
  <c r="N164" i="1"/>
  <c r="M169" i="1"/>
  <c r="N169" i="1" s="1"/>
  <c r="M24" i="1"/>
  <c r="N24" i="1" s="1"/>
  <c r="M166" i="1"/>
  <c r="N166" i="1" s="1"/>
  <c r="M152" i="1"/>
  <c r="N152" i="1" s="1"/>
  <c r="N165" i="1"/>
  <c r="M151" i="1"/>
  <c r="N151" i="1" s="1"/>
  <c r="M135" i="1"/>
  <c r="N135" i="1" s="1"/>
  <c r="M133" i="1"/>
  <c r="N133" i="1" s="1"/>
  <c r="M132" i="1"/>
  <c r="K234" i="1"/>
  <c r="M242" i="1"/>
  <c r="N242" i="1" s="1"/>
  <c r="M236" i="1"/>
  <c r="M237" i="1"/>
  <c r="N237" i="1" s="1"/>
  <c r="M140" i="1"/>
  <c r="N140" i="1" s="1"/>
  <c r="M141" i="1"/>
  <c r="K131" i="1"/>
  <c r="M131" i="1"/>
  <c r="K113" i="1"/>
  <c r="K95" i="1"/>
  <c r="M23" i="1"/>
  <c r="N23" i="1" s="1"/>
  <c r="M22" i="1"/>
  <c r="N22" i="1" s="1"/>
  <c r="M172" i="1"/>
  <c r="N172" i="1" s="1"/>
  <c r="M163" i="1"/>
  <c r="M168" i="1"/>
  <c r="N168" i="1" s="1"/>
  <c r="M149" i="1"/>
  <c r="M139" i="1"/>
  <c r="N139" i="1" s="1"/>
  <c r="M138" i="1"/>
  <c r="M210" i="1"/>
  <c r="N210" i="1" s="1"/>
  <c r="M217" i="1"/>
  <c r="N217" i="1" s="1"/>
  <c r="K227" i="1"/>
  <c r="M175" i="1"/>
  <c r="N175" i="1" s="1"/>
  <c r="M179" i="1"/>
  <c r="N179" i="1" s="1"/>
  <c r="M234" i="1"/>
  <c r="M228" i="1"/>
  <c r="N228" i="1" s="1"/>
  <c r="M246" i="1"/>
  <c r="N246" i="1" s="1"/>
  <c r="M226" i="1"/>
  <c r="M227" i="1"/>
  <c r="M225" i="1"/>
  <c r="N225" i="1" s="1"/>
  <c r="M110" i="1"/>
  <c r="N110" i="1" s="1"/>
  <c r="M113" i="1"/>
  <c r="M114" i="1"/>
  <c r="N114" i="1" s="1"/>
  <c r="K128" i="1"/>
  <c r="M95" i="1"/>
  <c r="M39" i="1"/>
  <c r="M18" i="1"/>
  <c r="N18" i="1" s="1"/>
  <c r="M19" i="1"/>
  <c r="N19" i="1" s="1"/>
  <c r="M20" i="1"/>
  <c r="N20" i="1" s="1"/>
  <c r="M21" i="1"/>
  <c r="N21" i="1" s="1"/>
  <c r="M17" i="1"/>
  <c r="N17" i="1" s="1"/>
  <c r="N205" i="1" l="1"/>
  <c r="D34" i="2"/>
  <c r="N245" i="1"/>
  <c r="D35" i="2" s="1"/>
  <c r="N141" i="1"/>
  <c r="D20" i="2"/>
  <c r="N94" i="1"/>
  <c r="N91" i="1"/>
  <c r="N118" i="1"/>
  <c r="N86" i="1"/>
  <c r="N56" i="1"/>
  <c r="N57" i="1"/>
  <c r="N58" i="1"/>
  <c r="N52" i="1"/>
  <c r="N51" i="1"/>
  <c r="N35" i="1"/>
  <c r="N132" i="1"/>
  <c r="N236" i="1"/>
  <c r="N234" i="1"/>
  <c r="N149" i="1"/>
  <c r="N138" i="1"/>
  <c r="N163" i="1"/>
  <c r="N131" i="1"/>
  <c r="N113" i="1"/>
  <c r="N95" i="1"/>
  <c r="N39" i="1"/>
  <c r="N226" i="1"/>
  <c r="N227" i="1"/>
  <c r="M130" i="1"/>
  <c r="N130" i="1" s="1"/>
  <c r="M129" i="1"/>
  <c r="N129" i="1" s="1"/>
  <c r="N142" i="1" l="1"/>
  <c r="D22" i="2"/>
  <c r="D33" i="2"/>
  <c r="D21" i="2"/>
  <c r="D31" i="2"/>
  <c r="D32" i="2"/>
  <c r="D26" i="2"/>
  <c r="D13" i="2"/>
  <c r="M174" i="1"/>
  <c r="N174" i="1" s="1"/>
  <c r="M128" i="1"/>
  <c r="N128" i="1" s="1"/>
  <c r="M127" i="1"/>
  <c r="N127" i="1" s="1"/>
  <c r="M126" i="1"/>
  <c r="M83" i="1"/>
  <c r="N83" i="1" s="1"/>
  <c r="M84" i="1"/>
  <c r="N84" i="1" s="1"/>
  <c r="M64" i="1"/>
  <c r="N64" i="1" s="1"/>
  <c r="M65" i="1"/>
  <c r="N65" i="1" s="1"/>
  <c r="M62" i="1"/>
  <c r="N62" i="1" s="1"/>
  <c r="M50" i="1"/>
  <c r="N50" i="1" s="1"/>
  <c r="M55" i="1"/>
  <c r="N55" i="1" s="1"/>
  <c r="M29" i="1"/>
  <c r="N29" i="1" s="1"/>
  <c r="M30" i="1"/>
  <c r="N30" i="1" s="1"/>
  <c r="M31" i="1"/>
  <c r="N31" i="1" s="1"/>
  <c r="M28" i="1"/>
  <c r="N28" i="1" s="1"/>
  <c r="N254" i="1"/>
  <c r="N32" i="1" l="1"/>
  <c r="N80" i="1"/>
  <c r="D19" i="2" s="1"/>
  <c r="D28" i="2"/>
  <c r="D14" i="2"/>
  <c r="D27" i="2"/>
  <c r="N126" i="1"/>
  <c r="N124" i="1" s="1"/>
  <c r="N15" i="1" l="1"/>
  <c r="N14" i="1" s="1"/>
  <c r="D16" i="2"/>
  <c r="D25" i="2" l="1"/>
  <c r="D15" i="2" l="1"/>
  <c r="D37" i="2" s="1"/>
  <c r="F37" i="2" l="1"/>
  <c r="M37" i="2"/>
  <c r="E34" i="2"/>
  <c r="E33" i="2"/>
  <c r="E32" i="2"/>
  <c r="E31" i="2"/>
  <c r="E30" i="2"/>
  <c r="E29" i="2"/>
  <c r="E28" i="2"/>
  <c r="L37" i="2"/>
  <c r="E23" i="2"/>
  <c r="E35" i="2"/>
  <c r="E20" i="2"/>
  <c r="E22" i="2"/>
  <c r="I37" i="2"/>
  <c r="H37" i="2"/>
  <c r="E15" i="2"/>
  <c r="E17" i="2"/>
  <c r="E19" i="2"/>
  <c r="E21" i="2"/>
  <c r="E24" i="2"/>
  <c r="E13" i="2"/>
  <c r="E26" i="2"/>
  <c r="E25" i="2"/>
  <c r="E18" i="2"/>
  <c r="E16" i="2"/>
  <c r="K37" i="2"/>
  <c r="J37" i="2"/>
  <c r="E14" i="2"/>
  <c r="E27" i="2"/>
  <c r="E3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Caixa</author>
  </authors>
  <commentList>
    <comment ref="N9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Preencher as informações na Aba "BDI".
</t>
        </r>
      </text>
    </comment>
    <comment ref="N10" authorId="0" shapeId="0" xr:uid="{00000000-0006-0000-0000-000002000000}">
      <text>
        <r>
          <rPr>
            <sz val="9"/>
            <color indexed="81"/>
            <rFont val="Segoe UI"/>
            <family val="2"/>
          </rPr>
          <t xml:space="preserve">Preencher as informações na Aba "BDI".
</t>
        </r>
      </text>
    </comment>
    <comment ref="I11" authorId="0" shapeId="0" xr:uid="{00000000-0006-0000-0000-000003000000}">
      <text>
        <r>
          <rPr>
            <sz val="9"/>
            <color indexed="81"/>
            <rFont val="Segoe UI"/>
            <family val="2"/>
          </rPr>
          <t xml:space="preserve">Informação da data-base vinculada ao arquivo "SINAPI mm-aaaa.xls" (conforme data-base Sinapi a ser utilizada no orçamento).
Selecionar o regime de Tributação na Aba "Informações do Contrato". 
</t>
        </r>
      </text>
    </comment>
    <comment ref="N11" authorId="0" shapeId="0" xr:uid="{00000000-0006-0000-0000-000004000000}">
      <text>
        <r>
          <rPr>
            <sz val="9"/>
            <color indexed="81"/>
            <rFont val="Segoe UI"/>
            <family val="2"/>
          </rPr>
          <t xml:space="preserve">Preencher as informações na Aba "BDI".
</t>
        </r>
      </text>
    </comment>
    <comment ref="H13" authorId="0" shapeId="0" xr:uid="{00000000-0006-0000-0000-000005000000}">
      <text>
        <r>
          <rPr>
            <sz val="9"/>
            <color indexed="81"/>
            <rFont val="Segoe UI"/>
            <family val="2"/>
          </rPr>
          <t xml:space="preserve">Preencher código SINAPI ou código inserido na Aba Composições.
</t>
        </r>
      </text>
    </comment>
    <comment ref="L13" authorId="0" shapeId="0" xr:uid="{00000000-0006-0000-0000-000006000000}">
      <text>
        <r>
          <rPr>
            <sz val="9"/>
            <color indexed="81"/>
            <rFont val="Segoe UI"/>
            <family val="2"/>
          </rPr>
          <t xml:space="preserve">Preencher o custo unitário proposto para cada um dos itens da Planilha Orçamentária, podendo ser efetuado comparativo com a referência oficial na coluna "T".
</t>
        </r>
      </text>
    </comment>
    <comment ref="O13" authorId="0" shapeId="0" xr:uid="{00000000-0006-0000-0000-000007000000}">
      <text>
        <r>
          <rPr>
            <sz val="9"/>
            <color indexed="81"/>
            <rFont val="Segoe UI"/>
            <family val="2"/>
          </rPr>
          <t>Preencher as informações na Aba "BDI", depois selecionar o índice de BDI a ser utilizado para o item:
P - BDI PADRÃO
D1 - BDI DIFERENCIADO 1
D2 - BDI DIFERENCIADO 2
Z - BDI ZERO</t>
        </r>
      </text>
    </comment>
    <comment ref="P13" authorId="0" shapeId="0" xr:uid="{00000000-0006-0000-0000-000008000000}">
      <text>
        <r>
          <rPr>
            <sz val="9"/>
            <color indexed="81"/>
            <rFont val="Segoe UI"/>
            <family val="2"/>
          </rPr>
          <t>Preencher as informações na Aba "BDI", depois selecionar o índice de BDI a ser utilizado para o item:
P - BDI PADRÃO
D1 - BDI DIFERENCIADO 1
D2 - BDI DIFERENCIADO 2
Z - BDI ZERO</t>
        </r>
      </text>
    </comment>
    <comment ref="E15" authorId="0" shapeId="0" xr:uid="{00000000-0006-0000-0000-000009000000}">
      <text>
        <r>
          <rPr>
            <sz val="9"/>
            <color indexed="81"/>
            <rFont val="Segoe UI"/>
            <family val="2"/>
          </rPr>
          <t xml:space="preserve">Selecionar:
M - Meta / Sub-Meta
A - Agrupador de Serviços
S - Itens / Subitens (Serviços, Insumos, Equipamentos, etc)
</t>
        </r>
      </text>
    </comment>
    <comment ref="I15" authorId="0" shapeId="0" xr:uid="{00000000-0006-0000-0000-00000A000000}">
      <text>
        <r>
          <rPr>
            <sz val="9"/>
            <color indexed="81"/>
            <rFont val="Segoe UI"/>
            <family val="2"/>
          </rPr>
          <t>Preencher na coluna "Z" o nome da Meta/Sub-Meta ou Agrupador de Serviços.</t>
        </r>
      </text>
    </comment>
  </commentList>
</comments>
</file>

<file path=xl/sharedStrings.xml><?xml version="1.0" encoding="utf-8"?>
<sst xmlns="http://schemas.openxmlformats.org/spreadsheetml/2006/main" count="1536" uniqueCount="525">
  <si>
    <t>DATA BASE SINAPI:</t>
  </si>
  <si>
    <t>LOCALIDADE SINAPI:</t>
  </si>
  <si>
    <t>ITEM</t>
  </si>
  <si>
    <t>FONTE</t>
  </si>
  <si>
    <t>CÓDIGO</t>
  </si>
  <si>
    <t>M</t>
  </si>
  <si>
    <t>A</t>
  </si>
  <si>
    <t>1.1</t>
  </si>
  <si>
    <t>S</t>
  </si>
  <si>
    <t>1.1.1</t>
  </si>
  <si>
    <t>1.1.2</t>
  </si>
  <si>
    <t>SINAPI</t>
  </si>
  <si>
    <t>1.1.3</t>
  </si>
  <si>
    <t>1.1.4</t>
  </si>
  <si>
    <t>1.1.5</t>
  </si>
  <si>
    <t>1.2</t>
  </si>
  <si>
    <t>1.2.1</t>
  </si>
  <si>
    <t>1.2.3</t>
  </si>
  <si>
    <t>1.2.5</t>
  </si>
  <si>
    <t>CURITIBA</t>
  </si>
  <si>
    <t>DESCRIÇÃO</t>
  </si>
  <si>
    <t>UNID</t>
  </si>
  <si>
    <t>QUANT</t>
  </si>
  <si>
    <t>CUSTO UNITÁRIO (R$)</t>
  </si>
  <si>
    <t>TOTAL</t>
  </si>
  <si>
    <t/>
  </si>
  <si>
    <t>BDI PADRÃO:</t>
  </si>
  <si>
    <t>BDI DIFERENCIADO 1:</t>
  </si>
  <si>
    <t>BDI DIFERENCIADO 2:</t>
  </si>
  <si>
    <t>BDI ZERO:</t>
  </si>
  <si>
    <t>UNITÁRIO COM BDI (R$)</t>
  </si>
  <si>
    <t>P</t>
  </si>
  <si>
    <t>D1</t>
  </si>
  <si>
    <t>D2</t>
  </si>
  <si>
    <t>Z</t>
  </si>
  <si>
    <t>VALOR TOTAL COM BDI (R$)</t>
  </si>
  <si>
    <t xml:space="preserve">BDI </t>
  </si>
  <si>
    <t>RECURSOS</t>
  </si>
  <si>
    <t>↓</t>
  </si>
  <si>
    <t>CP</t>
  </si>
  <si>
    <t>1.3</t>
  </si>
  <si>
    <t>1.3.3</t>
  </si>
  <si>
    <t>1.3.4</t>
  </si>
  <si>
    <t>1.3.5</t>
  </si>
  <si>
    <t>1.4</t>
  </si>
  <si>
    <t>1.4.1</t>
  </si>
  <si>
    <t>1.4.4</t>
  </si>
  <si>
    <t>1.4.5</t>
  </si>
  <si>
    <t>1.5</t>
  </si>
  <si>
    <t>1.6.1</t>
  </si>
  <si>
    <t>1.6.2</t>
  </si>
  <si>
    <t>1.6.3</t>
  </si>
  <si>
    <t>1.7</t>
  </si>
  <si>
    <t>SINAPI-I</t>
  </si>
  <si>
    <t>4813</t>
  </si>
  <si>
    <t>1.8</t>
  </si>
  <si>
    <t>PLACA DE OBRA (PARA CONSTRUCAO CIVIL) EM CHAPA GALVANIZADA *N. 22*, ADESIVADA, DE *2,4 X 1,2* M (SEM POSTES PARA FIXACAO)</t>
  </si>
  <si>
    <t xml:space="preserve">M2    </t>
  </si>
  <si>
    <t>1.5.1</t>
  </si>
  <si>
    <t>1.5.2</t>
  </si>
  <si>
    <t>1.5.3</t>
  </si>
  <si>
    <t>1.5.4</t>
  </si>
  <si>
    <t>1.6</t>
  </si>
  <si>
    <t>CRONOGRAMA FÍSICO - FINANCEIRO</t>
  </si>
  <si>
    <t>Nº da Operação</t>
  </si>
  <si>
    <t>Gestor/Programa/Modalidade/Ação</t>
  </si>
  <si>
    <t>Município/UF</t>
  </si>
  <si>
    <t>ITAPEJARA D´OESTE/PR</t>
  </si>
  <si>
    <t>Proponente</t>
  </si>
  <si>
    <t>Objeto</t>
  </si>
  <si>
    <t>Empreendimento/Apelido</t>
  </si>
  <si>
    <t>MUNICÍPIO DE ITAPEJARA D´OESTE</t>
  </si>
  <si>
    <t>META/</t>
  </si>
  <si>
    <t>VALOR</t>
  </si>
  <si>
    <t>PESO</t>
  </si>
  <si>
    <t>MÊS</t>
  </si>
  <si>
    <t>AGRUPADOR</t>
  </si>
  <si>
    <t>R$</t>
  </si>
  <si>
    <t>%</t>
  </si>
  <si>
    <t>PARCELA (%)</t>
  </si>
  <si>
    <t>ACUM (%)</t>
  </si>
  <si>
    <t>Total (%):</t>
  </si>
  <si>
    <t>Total (R$):</t>
  </si>
  <si>
    <t>Local/Data</t>
  </si>
  <si>
    <t>1.9</t>
  </si>
  <si>
    <t>Declaro que os custos unitários adotados atendem ao regime de contribuição previdenciária, sendo esta a alternativa mais adequada para a Administração</t>
  </si>
  <si>
    <t>Pública, e que o detalhamento de encargos sociais atendem ao estabelecido no SINAPI desta unidade da federação, para mão-de-obra horista e mensalista</t>
  </si>
  <si>
    <t>......................................................................................................................</t>
  </si>
  <si>
    <t>Responsável técnico pela elaboração do orçamento:</t>
  </si>
  <si>
    <t>Nome: LEANDRO H. M. SANTOS</t>
  </si>
  <si>
    <t>CREA/CAU: PR-170817/D</t>
  </si>
  <si>
    <t>ART/RRT</t>
  </si>
  <si>
    <t>Data</t>
  </si>
  <si>
    <t>2.1</t>
  </si>
  <si>
    <t>2.2</t>
  </si>
  <si>
    <t>2.3</t>
  </si>
  <si>
    <t>2.4</t>
  </si>
  <si>
    <t>2.5</t>
  </si>
  <si>
    <t>04/2022 (DESONERADO)</t>
  </si>
  <si>
    <t>1.10</t>
  </si>
  <si>
    <t>1.11</t>
  </si>
  <si>
    <t>2.6</t>
  </si>
  <si>
    <t>2.7</t>
  </si>
  <si>
    <t>2.7.1</t>
  </si>
  <si>
    <t>2.7.2</t>
  </si>
  <si>
    <t>2.7.3</t>
  </si>
  <si>
    <t>2.7.7</t>
  </si>
  <si>
    <t>LEANDRO HENRIQUE MAAS SANTOS</t>
  </si>
  <si>
    <t>ITAPEJARA D´OESTE/PR, 07 de junho de 2022</t>
  </si>
  <si>
    <t>ESCOLA GUARANI</t>
  </si>
  <si>
    <t>SERVIÇOS PRELIMINARES</t>
  </si>
  <si>
    <t>98524</t>
  </si>
  <si>
    <t>LIMPEZA MANUAL DE VEGETAÇÃO EM TERRENO COM ENXADA.AF_05/2018</t>
  </si>
  <si>
    <t>99059</t>
  </si>
  <si>
    <t>LOCACAO CONVENCIONAL DE OBRA, UTILIZANDO GABARITO DE TÁBUAS CORRIDAS PONTALETADAS A CADA 2,00M -  2 UTILIZAÇÕES. AF_10/2018</t>
  </si>
  <si>
    <t>MOVIMENTO DE TERRA</t>
  </si>
  <si>
    <t>M3</t>
  </si>
  <si>
    <t>REATERRO</t>
  </si>
  <si>
    <t>96995</t>
  </si>
  <si>
    <t>REATERRO MANUAL APILOADO COM SOQUETE. AF_10/2017</t>
  </si>
  <si>
    <t>96536</t>
  </si>
  <si>
    <t>FABRICAÇÃO, MONTAGEM E DESMONTAGEM DE FÔRMA PARA VIGA BALDRAME, EM MADEIRA SERRADA, E=25 MM, 4 UTILIZAÇÕES. AF_06/2017</t>
  </si>
  <si>
    <t>ESTRUTURAS</t>
  </si>
  <si>
    <t>92413</t>
  </si>
  <si>
    <t>MONTAGEM E DESMONTAGEM DE FÔRMA DE PILARES RETANGULARES E ESTRUTURAS SIMILARES, PÉ-DIREITO SIMPLES, EM MADEIRA SERRADA, 4 UTILIZAÇÕES. AF_09/2020</t>
  </si>
  <si>
    <t>92448</t>
  </si>
  <si>
    <t>MONTAGEM E DESMONTAGEM DE FÔRMA DE VIGA, ESCORAMENTO COM PONTALETE DE MADEIRA, PÉ-DIREITO SIMPLES, EM MADEIRA SERRADA, 4 UTILIZAÇÕES. AF_09/2020</t>
  </si>
  <si>
    <t>ARMAÇÃO DE BLOCO, VIGA BALDRAME E SAPATA UTILIZANDO AÇO CA-60 DE 5 MM - MONTAGEM. AF_06/2017</t>
  </si>
  <si>
    <t>ARMAÇÃO DE BLOCO, VIGA BALDRAME OU SAPATA UTILIZANDO AÇO CA-50 DE 10 MM - MONTAGEM. AF_06/2017</t>
  </si>
  <si>
    <t>ARMAÇÃO DE PILAR OU VIGA DE UMA ESTRUTURA CONVENCIONAL DE CONCRETO ARMADO EM UMA EDIFICAÇÃO TÉRREA OU SOBRADO UTILIZANDO AÇO CA-50 DE 10,0 MM - MONTAGEM. AF_12/2015</t>
  </si>
  <si>
    <t>92778</t>
  </si>
  <si>
    <t>KG</t>
  </si>
  <si>
    <t>96543</t>
  </si>
  <si>
    <t>96546</t>
  </si>
  <si>
    <t>92775</t>
  </si>
  <si>
    <t>ARMAÇÃO DE PILAR OU VIGA DE UMA ESTRUTURA CONVENCIONAL DE CONCRETO ARMADO EM UMA EDIFICAÇÃO TÉRREA OU SOBRADO UTILIZANDO AÇO CA-60 DE 5,0 MM - MONTAGEM. AF_12/2015</t>
  </si>
  <si>
    <t>CONCRETAGEM DE BLOCOS DE COROAMENTO E VIGAS BALDRAMES, FCK 30 MPA, COM USO DE BOMBA  LANÇAMENTO, ADENSAMENTO E ACABAMENTO. AF_06/2017</t>
  </si>
  <si>
    <t>96557</t>
  </si>
  <si>
    <t>96558</t>
  </si>
  <si>
    <t>CONCRETAGEM DE SAPATAS, FCK 30 MPA, COM USO DE BOMBA  LANÇAMENTO, ADENSAMENTO E ACABAMENTO. AF_11/2016</t>
  </si>
  <si>
    <t>103672</t>
  </si>
  <si>
    <t>CONCRETAGEM DE PILARES, FCK = 25 MPA, COM USO DE BOMBA - LANÇAMENTO, ADENSAMENTO E ACABAMENTO. AF_02/2022</t>
  </si>
  <si>
    <t>CONCRETAGEM DE VIGAS E LAJES, FCK=25 MPA, PARA LAJES PREMOLDADAS COM USO DE BOMBA - LANÇAMENTO, ADENSAMENTO E ACABAMENTO. AF_02/2022</t>
  </si>
  <si>
    <t>103674</t>
  </si>
  <si>
    <t>ALVENARIA</t>
  </si>
  <si>
    <t>ALVENARIA DE VEDAÇÃO DE BLOCOS CERÂMICOS FURADOS NA HORIZONTAL DE 11,5X19X19 CM (ESPESSURA 11,5 CM) E ARGAMASSA DE ASSENTAMENTO COM PREPARO MANUAL. AF_12/2021</t>
  </si>
  <si>
    <t>103331</t>
  </si>
  <si>
    <t>M2</t>
  </si>
  <si>
    <t>COBERTURA</t>
  </si>
  <si>
    <t>92542</t>
  </si>
  <si>
    <t>TRAMA DE MADEIRA COMPOSTA POR RIPAS, CAIBROS E TERÇAS PARA TELHADOS DE MAIS QUE 2 ÁGUAS PARA TELHA DE ENCAIXE DE CERÂMICA OU DE CONCRETO, INCLUSO TRANSPORTE VERTICAL. AF_07/2019</t>
  </si>
  <si>
    <t>94441</t>
  </si>
  <si>
    <t>TELHAMENTO COM TELHA CERÂMICA DE ENCAIXE, TIPO FRANCESA, COM MAIS DE 2 ÁGUAS, INCLUSO TRANSPORTE VERTICAL. AF_07/2019</t>
  </si>
  <si>
    <t>94219</t>
  </si>
  <si>
    <t>CUMEEIRA E ESPIGÃO PARA TELHA CERÂMICA EMBOÇADA COM ARGAMASSA TRAÇO 1:2:9 (CIMENTO, CAL E AREIA), PARA TELHADOS COM MAIS DE 2 ÁGUAS, INCLUSO TRANSPORTE VERTICAL. AF_07/2019</t>
  </si>
  <si>
    <t>CALHA EM CHAPA DE AÇO GALVANIZADO NÚMERO 24, DESENVOLVIMENTO DE 33 CM, INCLUSO TRANSPORTE VERTICAL. AF_07/2019</t>
  </si>
  <si>
    <t>94227</t>
  </si>
  <si>
    <t>REVESTIMENTOS</t>
  </si>
  <si>
    <t>ARGAMASSA TRAÇO 1:3 (EM VOLUME DE CIMENTO E AREIA GROSSA ÚMIDA) PARA CHAPISCO CONVENCIONAL, PREPARO MANUAL. AF_08/2019</t>
  </si>
  <si>
    <t>87377</t>
  </si>
  <si>
    <t>87367</t>
  </si>
  <si>
    <t>ARGAMASSA TRAÇO 1:1:6 (EM VOLUME DE CIMENTO, CAL E AREIA MÉDIA ÚMIDA) PARA EMBOÇO/MASSA ÚNICA/ASSENTAMENTO DE ALVENARIA DE VEDAÇÃO, PREPARO MANUAL. AF_08/2019</t>
  </si>
  <si>
    <t>REVESTIMENTO CERÂMICO PARA PAREDES EXTERNAS EM PASTILHAS DE PORCELANA 5 X 5 CM (PLACAS DE 30 X 30 CM), ALINHADAS A PRUMO, APLICADO EM PANOS COM VÃOS. AF_06/2014</t>
  </si>
  <si>
    <t>87242</t>
  </si>
  <si>
    <t>REVESTIMENTO CERÂMICO PARA PISO COM PLACAS TIPO PORCELANATO DE DIMENSÕES 45X45 CM APLICADA EM AMBIENTES DE ÁREA MAIOR QUE 10 M². AF_06/2014</t>
  </si>
  <si>
    <t>87260</t>
  </si>
  <si>
    <t>QUADRA DE ESPORTES</t>
  </si>
  <si>
    <t>DEMOLIÇÃO DE ALVENARIA DE BLOCO FURADO, DE FORMA MANUAL, SEM REAPROVEITAMENTO. AF_12/2017</t>
  </si>
  <si>
    <t>97622</t>
  </si>
  <si>
    <t>REMOÇÃO DE TELHAS DE FIBROCIMENTO, METÁLICA E CERÂMICA, DE FORMA MECANIZADA, COM USO DE GUINDASTE, SEM REAPROVEITAMENTO. AF_12/2017</t>
  </si>
  <si>
    <t>97649</t>
  </si>
  <si>
    <t>REMOÇÃO DE PORTAS, DE FORMA MANUAL, SEM REAPROVEITAMENTO. AF_12/2017</t>
  </si>
  <si>
    <t>97644</t>
  </si>
  <si>
    <t>REMOÇÃO DE JANELAS, DE FORMA MANUAL, SEM REAPROVEITAMENTO. AF_12/2017</t>
  </si>
  <si>
    <t>97645</t>
  </si>
  <si>
    <t>APLICAÇÃO MANUAL DE PINTURA COM TINTA LÁTEX ACRÍLICA EM PAREDES, DUAS DEMÃOS. AF_06/2014</t>
  </si>
  <si>
    <t>88489</t>
  </si>
  <si>
    <t>APLICAÇÃO DE FUNDO SELADOR ACRÍLICO EM PAREDES, UMA DEMÃO. AF_06/2014</t>
  </si>
  <si>
    <t>88485</t>
  </si>
  <si>
    <t>MASSA CORRIDA PARA SUPERFICIES DE AMBIENTES INTERNOS</t>
  </si>
  <si>
    <t>43626</t>
  </si>
  <si>
    <t>FUNDO PREPARADOR ACRILICO BASE AGUA</t>
  </si>
  <si>
    <t>38122</t>
  </si>
  <si>
    <t>L</t>
  </si>
  <si>
    <t>PINTURA</t>
  </si>
  <si>
    <t>ESCOLA</t>
  </si>
  <si>
    <t>QUADRA</t>
  </si>
  <si>
    <t>ALVENARIA E FECHAMENTOS</t>
  </si>
  <si>
    <t>VIGA METÁLICA EM PERFIL LAMINADO OU SOLDADO EM AÇO ESTRUTURAL, COM CONEXÕES SOLDADAS, INCLUSOS MÃO DE OBRA, TRANSPORTE E IÇAMENTO UTILIZANDO GUINDASTE - FORNECIMENTO E INSTALAÇÃO. AF_01/2020_P</t>
  </si>
  <si>
    <t>100764</t>
  </si>
  <si>
    <t>LIMPEZA FINAL</t>
  </si>
  <si>
    <t>Composição</t>
  </si>
  <si>
    <t>LIMPEZA FINAL DA OBRA</t>
  </si>
  <si>
    <t>TELHAMENTO COM TELHA DE AÇO/ALUMÍNIO E = 0,5 MM, COM ATÉ 2 ÁGUAS, INCLUSO IÇAMENTO. AF_07/2019</t>
  </si>
  <si>
    <t>94213</t>
  </si>
  <si>
    <t>REVESTIMENTO CERÂMICO PARA PISO COM PLACAS TIPO ESMALTADA EXTRA DE DIMENSÕES 35X35 CM APLICADA EM AMBIENTES DE ÁREA ENTRE 5 M2 E 10 M2. AF_06/2014</t>
  </si>
  <si>
    <t>87247</t>
  </si>
  <si>
    <t>REVESTIMENTO CERÂMICO PARA PAREDES INTERNAS COM PLACAS TIPO ESMALTADA EXTRA  DE DIMENSÕES 33X45 CM APLICADAS EM AMBIENTES DE ÁREA MENOR QUE 5 M² NA ALTURA INTEIRA DAS PAREDES. AF_06/2014</t>
  </si>
  <si>
    <t>87272</t>
  </si>
  <si>
    <t>DEMOLIÇÃO DE REVESTIMENTO CERÂMICO, DE FORMA MANUAL, SEM REAPROVEITAMENTO. AF_12/2017</t>
  </si>
  <si>
    <t>97633</t>
  </si>
  <si>
    <t>REMOÇÃO DE TUBULAÇÕES (TUBOS E CONEXÕES) DE ÁGUA FRIA, DE FORMA MANUAL, SEM REAPROVEITAMENTO. AF_12/2017</t>
  </si>
  <si>
    <t>97662</t>
  </si>
  <si>
    <t>DEMOLIÇÃO DE LAJES, DE FORMA MANUAL, SEM REAPROVEITAMENTO. AF_12/2017</t>
  </si>
  <si>
    <t>97628</t>
  </si>
  <si>
    <t>ARGAMASSA</t>
  </si>
  <si>
    <t>(COMPOSIÇÃO REPRESENTATIVA) DO SERVIÇO DE CONTRAPISO EM ARGAMASSA TRAÇO 1:4 (CIM E AREIA), EM BETONEIRA 400 L, ESPESSURA 3 CM ÁREAS SECAS E 3 CM ÁREAS MOLHADAS, PARA EDIFICAÇÃO HABITACIONAL UNIFAMILIAR (CASA) E EDIFICAÇÃO PÚBLICA PADRÃO. AF_11/2014</t>
  </si>
  <si>
    <t>94438</t>
  </si>
  <si>
    <t>ESQUADRIAS</t>
  </si>
  <si>
    <t>UN</t>
  </si>
  <si>
    <t>DEMOLIÇÃO DE PILARES E VIGAS EM CONCRETO ARMADO, DE FORMA MANUAL, SEM REAPROVEITAMENTO. AF_12/2017</t>
  </si>
  <si>
    <t>97626</t>
  </si>
  <si>
    <t>REMOÇÃO DE PINTURA A ÓLEO OU ESMALTE</t>
  </si>
  <si>
    <t>ORSE</t>
  </si>
  <si>
    <t>ESCAVAÇÃO</t>
  </si>
  <si>
    <t>ARGAMASSAS</t>
  </si>
  <si>
    <t>PORTA DE ALUMÍNIO DE ABRIR COM LAMBRI, COM GUARNIÇÃO, FIXAÇÃO COM PARAFUSOS - FORNECIMENTO E INSTALAÇÃO. AF_12/2019</t>
  </si>
  <si>
    <t>91338</t>
  </si>
  <si>
    <t>TRAMA DE AÇO COMPOSTA POR TERÇAS PARA TELHADOS DE ATÉ 2 ÁGUAS PARA TELHA ONDULADA DE FIBROCIMENTO, METÁLICA, PLÁSTICA OU TERMOACÚSTICA, INCLUSO TRANSPORTE VERTICAL. AF_07/2019</t>
  </si>
  <si>
    <t>92580</t>
  </si>
  <si>
    <t>REMOÇÃO DE LOUÇAS, DE FORMA MANUAL, SEM REAPROVEITAMENTO. AF_12/2017</t>
  </si>
  <si>
    <t>97663</t>
  </si>
  <si>
    <t>CERÂMICAS</t>
  </si>
  <si>
    <t>ESCAVAÇÃO MANUAL DE VALA PARA VIGA BALDRAME (INCLUINDO ESCAVAÇÃO PARA COLOCAÇÃO DE FÔRMAS). AF_06/2017</t>
  </si>
  <si>
    <t>96527</t>
  </si>
  <si>
    <t>APLICAÇÃO MANUAL DE PINTURA COM TINTA LÁTEX ACRÍLICA EM TETO, DUAS DEMÃOS. AF_06/2014</t>
  </si>
  <si>
    <t>88488</t>
  </si>
  <si>
    <t>PILARES</t>
  </si>
  <si>
    <t>VIGAS SUPERIORES</t>
  </si>
  <si>
    <t>REMOÇÃO DE TELHAS, DE FIBROCIMENTO, METÁLICA E CERÂMICA, DE FORMA MANUAL, SEM REAPROVEITAMENTO. AF_12/2017</t>
  </si>
  <si>
    <t>97647</t>
  </si>
  <si>
    <t>CALHA PARA AGUA FURTADA DE CHAPA DE ACO GALVANIZADA NUM 26, CORTE 50 CM</t>
  </si>
  <si>
    <t>1118</t>
  </si>
  <si>
    <t>FABRICAÇÃO E INSTALAÇÃO DE ESTRUTURA PONTALETADA DE MADEIRA NÃO APARELHADA PARA TELHADOS COM MAIS QUE 2 ÁGUAS E PARA TELHA CERÂMICA OU DE CONCRETO, INCLUSO TRANSPORTE VERTICAL. AF_12/2015</t>
  </si>
  <si>
    <t>92567</t>
  </si>
  <si>
    <t>CARGA, MANOBRA E DESCARGA DE ENTULHO EM CAMINHÃO BASCULANTE 6 M³ - CARGA COM ESCAVADEIRA HIDRÁULICA  (CAÇAMBA DE 0,80 M³ / 111 HP) E DESCARGA LIVRE (UNIDADE: M3). AF_07/2020</t>
  </si>
  <si>
    <t>100981</t>
  </si>
  <si>
    <t>1.1.6</t>
  </si>
  <si>
    <t>1.1.7</t>
  </si>
  <si>
    <t>1.1.8</t>
  </si>
  <si>
    <t>1.1.9</t>
  </si>
  <si>
    <t>SAPATA</t>
  </si>
  <si>
    <t>LASTRO COM MATERIAL GRANULAR, APLICADO EM PISOS OU LAJES SOBRE SOLO, ESPESSURA DE *5 CM*. AF_08/2017</t>
  </si>
  <si>
    <t>96622</t>
  </si>
  <si>
    <t>ESCAVAÇÃO MANUAL PARA BLOCO DE COROAMENTO OU SAPATA (INCLUINDO ESCAVAÇÃO PARA COLOCAÇÃO DE FÔRMAS). AF_06/2017</t>
  </si>
  <si>
    <t>96523</t>
  </si>
  <si>
    <t>FABRICAÇÃO, MONTAGEM E DESMONTAGEM DE FÔRMA PARA SAPATA, EM MADEIRA SERRADA, E=25 MM, 4 UTILIZAÇÕES. AF_06/2017</t>
  </si>
  <si>
    <t>96535</t>
  </si>
  <si>
    <t>VIGA BALDRAME</t>
  </si>
  <si>
    <t>PAREDES</t>
  </si>
  <si>
    <t>PISOS</t>
  </si>
  <si>
    <t>PISO</t>
  </si>
  <si>
    <t>VERGA MOLDADA IN LOCO EM CONCRETO PARA JANELAS COM MAIS DE 1,5 M DE VÃO. AF_03/2016</t>
  </si>
  <si>
    <t>93187</t>
  </si>
  <si>
    <t>CONTRAVERGA MOLDADA IN LOCO EM CONCRETO PARA VÃOS DE MAIS DE 1,5 M DE COMPRIMENTO. AF_03/2016</t>
  </si>
  <si>
    <t>93197</t>
  </si>
  <si>
    <t>VERGA MOLDADA IN LOCO EM CONCRETO PARA PORTAS COM ATÉ 1,5 M DE VÃO. AF_03/2016</t>
  </si>
  <si>
    <t>93188</t>
  </si>
  <si>
    <t>LASTRO COM MATERIAL GRANULAR (PEDRA BRITADA N.1 E PEDRA BRITADA N.2), APLICADO EM PISOS OU LAJES SOBRE SOLO, ESPESSURA DE *10 CM*. AF_07/2019</t>
  </si>
  <si>
    <t>100324</t>
  </si>
  <si>
    <t>TELA DE ACO SOLDADA NERVURADA, CA-60, Q-138, (2,20 KG/M2), DIAMETRO DO FIO = 4,2 MM, LARGURA = 2,45 M, ESPACAMENTO DA MALHA = 10  X 10 CM</t>
  </si>
  <si>
    <t>7155</t>
  </si>
  <si>
    <t>CONCRETAGEM DE RADIER, PISO DE CONCRETO OU LAJE SOBRE SOLO, FCK 30 MPA - LANÇAMENTO, ADENSAMENTO E ACABAMENTO. AF_09/2021</t>
  </si>
  <si>
    <t>97096</t>
  </si>
  <si>
    <t>ARGAMASSA TRAÇO 1:4 (EM VOLUME DE CIMENTO E AREIA MÉDIA ÚMIDA) PARA CONTRAPISO, PREPARO MANUAL. AF_08/2019</t>
  </si>
  <si>
    <t>87373</t>
  </si>
  <si>
    <t>ARGAMASSA COLANTE AC II</t>
  </si>
  <si>
    <t>34353</t>
  </si>
  <si>
    <t>LAJE</t>
  </si>
  <si>
    <t>TETO</t>
  </si>
  <si>
    <t>ELÉTRICA</t>
  </si>
  <si>
    <t>HIDRÁULICA</t>
  </si>
  <si>
    <t>LAJE PRÉ-MOLDADA UNIDIRECIONAL, BIAPOIADA, PARA PISO, ENCHIMENTO EM CERÂMICA, VIGOTA CONVENCIONAL, ALTURA TOTAL DA LAJE (ENCHIMENTO+CAPA) = (8+4). AF_11/2020</t>
  </si>
  <si>
    <t>101963</t>
  </si>
  <si>
    <t>ALVENARIA DE VEDAÇÃO COM ELEMENTO VAZADO DE CERÂMICA (COBOGÓ) DE 7X20X20CM E ARGAMASSA DE ASSENTAMENTO COM PREPARO EM BETONEIRA. AF_05/2020</t>
  </si>
  <si>
    <t>1101162</t>
  </si>
  <si>
    <t>KIT DE PORTA DE MADEIRA PARA PINTURA, SEMI-OCA (LEVE OU MÉDIA), PADRÃO POPULAR, 90X210CM, ESPESSURA DE 3,5CM, ITENS INCLUSOS: DOBRADIÇAS, MONTAGEM E INSTALAÇÃO DO BATENTE, FECHADURA COM EXECUÇÃO DO FURO - FORNECIMENTO E INSTALAÇÃO. AF_12/2019</t>
  </si>
  <si>
    <t>91315</t>
  </si>
  <si>
    <t>JANELA DE ALUMÍNIO TIPO MAXIM-AR, COM VIDROS, BATENTE E FERRAGENS. EXCLUSIVE ALIZAR, ACABAMENTO E CONTRAMARCO. FORNECIMENTO E INSTALAÇÃO. AF_12/2019</t>
  </si>
  <si>
    <t>94569</t>
  </si>
  <si>
    <t>CONTRAMARCO DE ALUMÍNIO, FIXAÇÃO COM ARGAMASSA - FORNECIMENTO E INSTALAÇÃO. AF_12/2019</t>
  </si>
  <si>
    <t>94589</t>
  </si>
  <si>
    <t>LAJES</t>
  </si>
  <si>
    <t>CONTRAVERGA MOLDADA IN LOCO EM CONCRETO PARA VÃOS DE ATÉ 1,5 M DE COMPRIMENTO. AF_03/2016</t>
  </si>
  <si>
    <t>93196</t>
  </si>
  <si>
    <t>VERGA MOLDADA IN LOCO EM CONCRETO PARA JANELAS COM ATÉ 1,5 M DE VÃO. AF_03/2016</t>
  </si>
  <si>
    <t>93186</t>
  </si>
  <si>
    <t>TELHAMENTO COM TELHA METÁLICA TERMOACÚSTICA E = 30 MM, COM ATÉ 2 ÁGUAS, INCLUSO IÇAMENTO. AF_07/2019</t>
  </si>
  <si>
    <t>94216</t>
  </si>
  <si>
    <t>PONTO DE TOMADA RESIDENCIAL INCLUINDO TOMADA (2 MÓDULOS) 10A/250V, CAIXA ELÉTRICA, ELETRODUTO, CABO, RASGO, QUEBRA E CHUMBAMENTO. AF_01/2016</t>
  </si>
  <si>
    <t>93142</t>
  </si>
  <si>
    <t>PONTO DE ILUMINAÇÃO RESIDENCIAL INCLUINDO INTERRUPTOR SIMPLES CONJUGADO COM PARALELO, CAIXA ELÉTRICA, ELETRODUTO, CABO, RASGO, QUEBRA E CHUMBAMENTO (EXCLUINDO LUMINÁRIA E LÂMPADA). AF_01/2016</t>
  </si>
  <si>
    <t>93140</t>
  </si>
  <si>
    <t>QUADRO DE DISTRIBUIÇÃO DE ENERGIA EM PVC, DE EMBUTIR, SEM BARRAMENTO, PARA 6 DISJUNTORES - FORNECIMENTO E INSTALAÇÃO. AF_10/2020</t>
  </si>
  <si>
    <t>101876</t>
  </si>
  <si>
    <t xml:space="preserve">UN </t>
  </si>
  <si>
    <t>DISJUNTOR BIPOLAR TIPO DIN, CORRENTE NOMINAL DE 32A - FORNECIMENTO E INSTALAÇÃO. AF_10/2020</t>
  </si>
  <si>
    <t>DISJUNTOR BIPOLAR TIPO DIN, CORRENTE NOMINAL DE 50A - FORNECIMENTO E INSTALAÇÃO. AF_10/2020</t>
  </si>
  <si>
    <t>93664</t>
  </si>
  <si>
    <t>93666</t>
  </si>
  <si>
    <t>BACIA SANITARIA (VASO) COM CAIXA ACOPLADA, SIFAO APARENTE, DE LOUCA BRANCA (SEM ASSENTO)</t>
  </si>
  <si>
    <t>10422</t>
  </si>
  <si>
    <t>BACIA SANITARIA (VASO) CONVENCIONAL PARA PCD, SEM FURO FRONTAL, DE LOUCA BRANCA (SEM ASSENTO)</t>
  </si>
  <si>
    <t>36520</t>
  </si>
  <si>
    <t>PUXADOR PARA PCD, FIXADO NA PORTA - FORNECIMENTO E INSTALAÇÃO. AF_01/2020</t>
  </si>
  <si>
    <t>100874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</si>
  <si>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</si>
  <si>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91795</t>
  </si>
  <si>
    <t>CURVA CURTA PVC, PB, JE, 90 GRAUS, DN 100 MM, PARA REDE COLETORA ESGOTO (NBR 10569)</t>
  </si>
  <si>
    <t>20095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</si>
  <si>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</si>
  <si>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91792</t>
  </si>
  <si>
    <t>TUBO PVC, SOLDAVEL, DN 25 MM, AGUA FRIA (NBR-5648)</t>
  </si>
  <si>
    <t>9868</t>
  </si>
  <si>
    <t>TE PVC, ROSCAVEL, 90 GRAUS, 3/4", AGUA FRIA PREDIAL</t>
  </si>
  <si>
    <t>7123</t>
  </si>
  <si>
    <t>TE SOLDAVEL, PVC, 90 GRAUS, 25 MM, PARA AGUA FRIA PREDIAL (NBR 5648)</t>
  </si>
  <si>
    <t>7139</t>
  </si>
  <si>
    <t>CURVA DE PVC 90 GRAUS, SOLDAVEL, 25 MM, PARA AGUA FRIA PREDIAL (NBR 5648)</t>
  </si>
  <si>
    <t>1956</t>
  </si>
  <si>
    <t>CURVA PVC 90 GRAUS, ROSCAVEL, 3/4",  AGUA FRIA PREDIAL</t>
  </si>
  <si>
    <t>1938</t>
  </si>
  <si>
    <t>RALO SIFONADO CILINDRICO, PVC, 100 X 40 MM,  COM GRELHA REDONDA BRANCA</t>
  </si>
  <si>
    <t>11741</t>
  </si>
  <si>
    <t>REGISTRO DE GAVETA BRUTO, LATÃO, ROSCÁVEL, 3/4" - FORNECIMENTO E INSTALAÇÃO. AF_08/2021</t>
  </si>
  <si>
    <t>89353</t>
  </si>
  <si>
    <t>LAVATÓRIO LOUÇA BRANCA COM COLUNA, 45 X 55CM OU EQUIVALENTE, PADRÃO MÉDIO, INCLUSO SIFÃO TIPO GARRAFA, VÁLVULA E ENGATE FLEXÍVEL DE 40CM EM METAL CROMADO, COM TORNEIRA CROMADA DE MESA, PADRÃO MÉDIO - FORNECIMENTO E INSTALAÇÃO. AF_01/2020</t>
  </si>
  <si>
    <t>86941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</si>
  <si>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</si>
  <si>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86942</t>
  </si>
  <si>
    <t>LUMINARIA LED REFLETOR RETANGULAR BIVOLT, LUZ BRANCA, 50 W</t>
  </si>
  <si>
    <t>39391</t>
  </si>
  <si>
    <t>CABO DE COBRE FLEXÍVEL ISOLADO, 2,5 MM², ANTI-CHAMA 450/750 V, PARA CIRCUITOS TERMINAIS - FORNECIMENTO E INSTALAÇÃO. AF_12/2015</t>
  </si>
  <si>
    <t>91926</t>
  </si>
  <si>
    <t>1.2.2</t>
  </si>
  <si>
    <t>1.2.4</t>
  </si>
  <si>
    <t>1.3.1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</si>
  <si>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</si>
  <si>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</si>
  <si>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</si>
  <si>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</si>
  <si>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</si>
  <si>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</si>
  <si>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</si>
  <si>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</si>
  <si>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</si>
  <si>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1.3.19</t>
  </si>
  <si>
    <t>1.3.20</t>
  </si>
  <si>
    <t>1.3.21</t>
  </si>
  <si>
    <t>1.3.22</t>
  </si>
  <si>
    <t>1.3.24</t>
  </si>
  <si>
    <t>1.3.25</t>
  </si>
  <si>
    <t>1.3.26</t>
  </si>
  <si>
    <t>1.3.27</t>
  </si>
  <si>
    <t>1.3.30</t>
  </si>
  <si>
    <t>1.4.2</t>
  </si>
  <si>
    <t>1.4.3</t>
  </si>
  <si>
    <t>1.4.6</t>
  </si>
  <si>
    <t>1.5.5</t>
  </si>
  <si>
    <t>1.5.6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</si>
  <si>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</si>
  <si>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</si>
  <si>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</si>
  <si>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</si>
  <si>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</si>
  <si>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</si>
  <si>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</si>
  <si>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</si>
  <si>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</si>
  <si>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1.7.11</t>
  </si>
  <si>
    <t>1.7.12</t>
  </si>
  <si>
    <t>1.7.13</t>
  </si>
  <si>
    <t>1.7.14</t>
  </si>
  <si>
    <t>1.7.16</t>
  </si>
  <si>
    <t>1.7.17</t>
  </si>
  <si>
    <t>1.8.1</t>
  </si>
  <si>
    <t>1.8.2</t>
  </si>
  <si>
    <t>1.8.3</t>
  </si>
  <si>
    <t>1.8.4</t>
  </si>
  <si>
    <t>1.8.5</t>
  </si>
  <si>
    <t>1.8.7</t>
  </si>
  <si>
    <t>1.8.8</t>
  </si>
  <si>
    <t>1.8.9</t>
  </si>
  <si>
    <t>1.8.10</t>
  </si>
  <si>
    <t>1.9.1</t>
  </si>
  <si>
    <t>1.9.2</t>
  </si>
  <si>
    <t>1.9.3</t>
  </si>
  <si>
    <t>1.10.1</t>
  </si>
  <si>
    <t>1.10.2</t>
  </si>
  <si>
    <t>1.10.3</t>
  </si>
  <si>
    <t>1.10.4</t>
  </si>
  <si>
    <t>1.10.5</t>
  </si>
  <si>
    <t>1.10.6</t>
  </si>
  <si>
    <t>1.11.1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</si>
  <si>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</si>
  <si>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</si>
  <si>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</si>
  <si>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</si>
  <si>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</si>
  <si>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</si>
  <si>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</si>
  <si>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</si>
  <si>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</si>
  <si>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</si>
  <si>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2.2.2</t>
  </si>
  <si>
    <t>2.2.1</t>
  </si>
  <si>
    <t>2.2.3</t>
  </si>
  <si>
    <t>2.2.4</t>
  </si>
  <si>
    <t>2.2.5</t>
  </si>
  <si>
    <t>2.3.1</t>
  </si>
  <si>
    <t>2.3.3</t>
  </si>
  <si>
    <t>2.3.4</t>
  </si>
  <si>
    <t>2.3.5</t>
  </si>
  <si>
    <t>2.3.10</t>
  </si>
  <si>
    <t>2.3.11</t>
  </si>
  <si>
    <t>2.3.12</t>
  </si>
  <si>
    <t>2.3.13</t>
  </si>
  <si>
    <t>2.3.15</t>
  </si>
  <si>
    <t>2.3.16</t>
  </si>
  <si>
    <t>2.3.17</t>
  </si>
  <si>
    <t>2.3.18</t>
  </si>
  <si>
    <t>2.3.20</t>
  </si>
  <si>
    <t>2.3.21</t>
  </si>
  <si>
    <t>2.3.22</t>
  </si>
  <si>
    <t>2.3.26</t>
  </si>
  <si>
    <t>2.3.27</t>
  </si>
  <si>
    <t>2.3.28</t>
  </si>
  <si>
    <t>2.3.29</t>
  </si>
  <si>
    <t>2.3.30</t>
  </si>
  <si>
    <t>2.3.31</t>
  </si>
  <si>
    <t>2.3.32</t>
  </si>
  <si>
    <t>2.4.1</t>
  </si>
  <si>
    <t>2.4.2</t>
  </si>
  <si>
    <t>2.4.3</t>
  </si>
  <si>
    <t>2.4.4</t>
  </si>
  <si>
    <t>2.4.5</t>
  </si>
  <si>
    <t>2.4.6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</si>
  <si>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</si>
  <si>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</si>
  <si>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</si>
  <si>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</si>
  <si>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</si>
  <si>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</si>
  <si>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</si>
  <si>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</si>
  <si>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2.6.1</t>
  </si>
  <si>
    <t>2.6.3</t>
  </si>
  <si>
    <t>2.6.9</t>
  </si>
  <si>
    <t>2.6.2</t>
  </si>
  <si>
    <t>2.6.4</t>
  </si>
  <si>
    <t>2.6.5</t>
  </si>
  <si>
    <t>2.6.6</t>
  </si>
  <si>
    <t>2.6.7</t>
  </si>
  <si>
    <t>2.6.8</t>
  </si>
  <si>
    <t>2.6.10</t>
  </si>
  <si>
    <t>2.6.11</t>
  </si>
  <si>
    <t>2.6.12</t>
  </si>
  <si>
    <t>2.6.13</t>
  </si>
  <si>
    <t>2.6.14</t>
  </si>
  <si>
    <t>2.7.8</t>
  </si>
  <si>
    <t>2.7.9</t>
  </si>
  <si>
    <t>2.7.10</t>
  </si>
  <si>
    <t>2.7.11</t>
  </si>
  <si>
    <t>2.7.12</t>
  </si>
  <si>
    <t>2.7.13</t>
  </si>
  <si>
    <t>2.7.14</t>
  </si>
  <si>
    <t>2.7.16</t>
  </si>
  <si>
    <t>2.7.17</t>
  </si>
  <si>
    <t>2.8</t>
  </si>
  <si>
    <t>2.8.1</t>
  </si>
  <si>
    <t>2.8.2</t>
  </si>
  <si>
    <t>2.8.3</t>
  </si>
  <si>
    <t>2.8.4</t>
  </si>
  <si>
    <t>2.8.5</t>
  </si>
  <si>
    <t>2.8.7</t>
  </si>
  <si>
    <t>2.8.8</t>
  </si>
  <si>
    <t>2.8.9</t>
  </si>
  <si>
    <t>2.8.10</t>
  </si>
  <si>
    <t>2.9</t>
  </si>
  <si>
    <t>2.9.1</t>
  </si>
  <si>
    <t>2.9.2</t>
  </si>
  <si>
    <t>2.9.3</t>
  </si>
  <si>
    <t>2.9.4</t>
  </si>
  <si>
    <t>2.9.5</t>
  </si>
  <si>
    <t>2.10</t>
  </si>
  <si>
    <t>2.10.1</t>
  </si>
  <si>
    <t>2.10.2</t>
  </si>
  <si>
    <t>2.10.3</t>
  </si>
  <si>
    <t>2.10.4</t>
  </si>
  <si>
    <t>2.11</t>
  </si>
  <si>
    <t>2.11.1</t>
  </si>
  <si>
    <t>IMPERMEABILIZAÇÃO DE SUPERFÍCIE COM EMULSÃO ASFÁLTICA, 2 DEMÃOS AF_06/2018</t>
  </si>
  <si>
    <t>98557</t>
  </si>
  <si>
    <t>PREPARO DE CONTRAPISO COM POLITRIZ. AF_09/2020</t>
  </si>
  <si>
    <t>101748</t>
  </si>
  <si>
    <t>APLICAÇÃO DE FUNDO SELADOR ACRÍLICO EM TETO, UMA DEMÃO. AF_06/2014</t>
  </si>
  <si>
    <t>88484</t>
  </si>
  <si>
    <t>SUMIDOURO CIRCULAR, EM CONCRETO PRÉ-MOLDADO, DIÂMETRO INTERNO = 2,38 M, ALTURA INTERNA = 3,0 M, ÁREA DE INFILTRAÇÃO: 25 M² (PARA 10 CONTRIBUINTES). AF_12/2020</t>
  </si>
  <si>
    <t>98064</t>
  </si>
  <si>
    <t>CHAPA DE ACO FINA A FRIO BITOLA MSG 26, E = 0,45 MM (3,60 KG/M2)</t>
  </si>
  <si>
    <t>1328</t>
  </si>
  <si>
    <t>RODAPÉ CERÂMICO DE 7CM DE ALTURA COM PLACAS TIPO ESMALTADA EXTRA DE DIMENSÕES 45X45CM. AF_06/2014</t>
  </si>
  <si>
    <t>88649</t>
  </si>
  <si>
    <t>JUNTA DILATACAO ELASTICA PARA CONCRETO (FUGENBAND) O-12, ATE 5 MCA</t>
  </si>
  <si>
    <t>3674</t>
  </si>
  <si>
    <t>033</t>
  </si>
  <si>
    <t>ARMAÇÃO DE BLOCO, VIGA BALDRAME OU SAPATA UTILIZANDO AÇO CA-50 DE 8 MM - MONTAGEM. AF_06/2017</t>
  </si>
  <si>
    <t>96545</t>
  </si>
  <si>
    <t>LÂMPADA TUBULAR LED DE 18/20 W, BASE G13 - FORNECIMENTO E INSTALAÇÃO. AF_02/2020_P</t>
  </si>
  <si>
    <t>100903</t>
  </si>
  <si>
    <t>PONTO DE TOMADA RESIDENCIAL INCLUINDO TOMADA 20A/250V, CAIXA ELÉTRICA, ELETRODUTO, CABO, RASGO, QUEBRA E CHUMBAMENTO. AF_01/2016</t>
  </si>
  <si>
    <t>93143</t>
  </si>
  <si>
    <t>LUMINÁRIA TIPO PLAFON CIRCULAR, DE SOBREPOR, COM LED DE 12/13 W - FORNECIMENTO E INSTALAÇÃO. AF_03/2022</t>
  </si>
  <si>
    <t>103782</t>
  </si>
  <si>
    <t>ARQUIBANCADA</t>
  </si>
  <si>
    <t>2.3.35</t>
  </si>
  <si>
    <t>CORRIMÃO SIMPLES, DIÂMETRO EXTERNO = 1 1/2", EM ALUMÍNIO. AF_04/2019_P</t>
  </si>
  <si>
    <t>99857</t>
  </si>
  <si>
    <t>REFORMA QUADRA DE ESPORTES E AMPLIAÇÃO DA ESCOLA MUNICIPAL PEDRO VIRIATO PARIGOT DE SOUZA</t>
  </si>
  <si>
    <t>REFORMA</t>
  </si>
  <si>
    <t>REFORMA DA QUADRA DE ESPORTES E AMPLIAÇÃO DA ESCOLA</t>
  </si>
  <si>
    <t>APLICAÇÃO MANUAL DE PINTURA COM TINTA TEXTURIZADA ACRÍLICA EM PANOS COM PRESENÇA DE VÃOS DE EDIFÍCIOS DE MÚLTIPLOS PAVIMENTOS, UMA COR. AF_06/2014</t>
  </si>
  <si>
    <t>88416</t>
  </si>
  <si>
    <t>CAIXA SIFONADA, PVC, 150 X 150 X 50 MM, COM GRELHA QUADRADA, BRANCA (NBR 5688)</t>
  </si>
  <si>
    <t>11712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</si>
</sst>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General;General;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1"/>
      <name val="Segoe U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1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49" fontId="3" fillId="2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left" vertical="center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12" xfId="0" applyNumberFormat="1" applyFont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</xf>
    <xf numFmtId="43" fontId="3" fillId="2" borderId="12" xfId="1" applyFont="1" applyFill="1" applyBorder="1" applyAlignment="1" applyProtection="1">
      <alignment horizontal="right" vertical="center" wrapText="1"/>
      <protection locked="0"/>
    </xf>
    <xf numFmtId="43" fontId="3" fillId="0" borderId="14" xfId="1" applyFont="1" applyFill="1" applyBorder="1" applyAlignment="1" applyProtection="1">
      <alignment horizontal="right" vertical="center"/>
    </xf>
    <xf numFmtId="1" fontId="9" fillId="5" borderId="15" xfId="1" applyNumberFormat="1" applyFont="1" applyFill="1" applyBorder="1" applyAlignment="1" applyProtection="1">
      <alignment horizontal="center" vertical="center"/>
      <protection locked="0"/>
    </xf>
    <xf numFmtId="43" fontId="3" fillId="0" borderId="12" xfId="1" applyFont="1" applyBorder="1" applyAlignment="1">
      <alignment horizontal="right" vertical="center"/>
    </xf>
    <xf numFmtId="0" fontId="0" fillId="6" borderId="0" xfId="0" applyFill="1"/>
    <xf numFmtId="0" fontId="8" fillId="6" borderId="0" xfId="0" applyFont="1" applyFill="1"/>
    <xf numFmtId="1" fontId="7" fillId="6" borderId="0" xfId="0" applyNumberFormat="1" applyFont="1" applyFill="1" applyAlignment="1">
      <alignment horizontal="center" vertical="center" textRotation="90" wrapText="1"/>
    </xf>
    <xf numFmtId="1" fontId="9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Continuous" vertical="center"/>
    </xf>
    <xf numFmtId="0" fontId="3" fillId="6" borderId="0" xfId="0" applyFont="1" applyFill="1" applyAlignment="1">
      <alignment horizontal="centerContinuous" vertical="center"/>
    </xf>
    <xf numFmtId="41" fontId="3" fillId="6" borderId="0" xfId="0" applyNumberFormat="1" applyFont="1" applyFill="1" applyAlignment="1">
      <alignment horizontal="centerContinuous" vertical="center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right" vertical="center"/>
    </xf>
    <xf numFmtId="10" fontId="2" fillId="6" borderId="4" xfId="0" applyNumberFormat="1" applyFont="1" applyFill="1" applyBorder="1" applyAlignment="1">
      <alignment horizontal="center" vertical="center"/>
    </xf>
    <xf numFmtId="1" fontId="7" fillId="6" borderId="0" xfId="0" applyNumberFormat="1" applyFont="1" applyFill="1" applyAlignment="1">
      <alignment horizontal="center" vertical="center"/>
    </xf>
    <xf numFmtId="41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7" fontId="2" fillId="6" borderId="4" xfId="0" applyNumberFormat="1" applyFont="1" applyFill="1" applyBorder="1" applyAlignment="1">
      <alignment horizontal="left" vertical="center"/>
    </xf>
    <xf numFmtId="41" fontId="3" fillId="6" borderId="15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Continuous" vertical="center" wrapText="1"/>
    </xf>
    <xf numFmtId="0" fontId="3" fillId="6" borderId="3" xfId="0" applyFont="1" applyFill="1" applyBorder="1" applyAlignment="1">
      <alignment horizontal="centerContinuous" vertical="center" wrapText="1"/>
    </xf>
    <xf numFmtId="0" fontId="3" fillId="6" borderId="4" xfId="0" applyFont="1" applyFill="1" applyBorder="1" applyAlignment="1">
      <alignment horizontal="centerContinuous" vertical="center" wrapText="1"/>
    </xf>
    <xf numFmtId="0" fontId="3" fillId="6" borderId="3" xfId="0" applyFont="1" applyFill="1" applyBorder="1" applyAlignment="1">
      <alignment horizontal="center" vertical="center" wrapText="1"/>
    </xf>
    <xf numFmtId="41" fontId="3" fillId="6" borderId="3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41" fontId="2" fillId="6" borderId="2" xfId="0" applyNumberFormat="1" applyFont="1" applyFill="1" applyBorder="1" applyAlignment="1">
      <alignment horizontal="left" vertical="center"/>
    </xf>
    <xf numFmtId="164" fontId="5" fillId="6" borderId="2" xfId="0" applyNumberFormat="1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right" vertical="center" wrapText="1"/>
    </xf>
    <xf numFmtId="43" fontId="2" fillId="6" borderId="4" xfId="0" applyNumberFormat="1" applyFont="1" applyFill="1" applyBorder="1" applyAlignment="1">
      <alignment horizontal="right" vertical="center"/>
    </xf>
    <xf numFmtId="0" fontId="2" fillId="7" borderId="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165" fontId="2" fillId="7" borderId="12" xfId="0" applyNumberFormat="1" applyFont="1" applyFill="1" applyBorder="1" applyAlignment="1">
      <alignment horizontal="left" vertical="center" wrapText="1"/>
    </xf>
    <xf numFmtId="41" fontId="2" fillId="7" borderId="12" xfId="0" applyNumberFormat="1" applyFont="1" applyFill="1" applyBorder="1" applyAlignment="1">
      <alignment horizontal="center" vertical="center"/>
    </xf>
    <xf numFmtId="43" fontId="2" fillId="7" borderId="12" xfId="1" applyFont="1" applyFill="1" applyBorder="1" applyAlignment="1" applyProtection="1">
      <alignment horizontal="right" vertical="center"/>
    </xf>
    <xf numFmtId="43" fontId="2" fillId="7" borderId="12" xfId="1" applyFont="1" applyFill="1" applyBorder="1" applyAlignment="1" applyProtection="1">
      <alignment horizontal="right" vertical="center" wrapText="1"/>
    </xf>
    <xf numFmtId="43" fontId="2" fillId="7" borderId="14" xfId="1" applyFont="1" applyFill="1" applyBorder="1" applyAlignment="1" applyProtection="1">
      <alignment horizontal="right" vertical="center"/>
    </xf>
    <xf numFmtId="43" fontId="2" fillId="7" borderId="17" xfId="1" applyFont="1" applyFill="1" applyBorder="1" applyAlignment="1">
      <alignment horizontal="right" vertical="center"/>
    </xf>
    <xf numFmtId="0" fontId="2" fillId="7" borderId="12" xfId="0" applyFont="1" applyFill="1" applyBorder="1" applyAlignment="1">
      <alignment horizontal="left" vertical="center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49" fontId="2" fillId="7" borderId="13" xfId="0" quotePrefix="1" applyNumberFormat="1" applyFont="1" applyFill="1" applyBorder="1" applyAlignment="1" applyProtection="1">
      <alignment horizontal="center" vertical="center" wrapText="1"/>
      <protection locked="0"/>
    </xf>
    <xf numFmtId="43" fontId="2" fillId="7" borderId="12" xfId="1" applyFont="1" applyFill="1" applyBorder="1" applyAlignment="1" applyProtection="1">
      <alignment horizontal="right" vertical="center" wrapText="1"/>
      <protection locked="0"/>
    </xf>
    <xf numFmtId="43" fontId="2" fillId="7" borderId="12" xfId="1" applyFont="1" applyFill="1" applyBorder="1" applyAlignment="1">
      <alignment horizontal="right" vertical="center"/>
    </xf>
    <xf numFmtId="49" fontId="2" fillId="7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7" borderId="12" xfId="0" applyNumberFormat="1" applyFont="1" applyFill="1" applyBorder="1" applyAlignment="1">
      <alignment horizontal="left" vertical="center" wrapText="1"/>
    </xf>
    <xf numFmtId="0" fontId="7" fillId="2" borderId="1" xfId="2" applyFont="1" applyFill="1" applyBorder="1" applyAlignment="1" applyProtection="1">
      <alignment horizontal="right" vertical="center"/>
      <protection locked="0"/>
    </xf>
    <xf numFmtId="0" fontId="7" fillId="2" borderId="4" xfId="2" applyFont="1" applyFill="1" applyBorder="1" applyAlignment="1" applyProtection="1">
      <alignment horizontal="left" vertical="center"/>
      <protection locked="0"/>
    </xf>
    <xf numFmtId="0" fontId="7" fillId="8" borderId="1" xfId="2" applyFont="1" applyFill="1" applyBorder="1" applyAlignment="1">
      <alignment horizontal="right" vertical="center"/>
    </xf>
    <xf numFmtId="0" fontId="7" fillId="8" borderId="4" xfId="2" applyFont="1" applyFill="1" applyBorder="1" applyAlignment="1">
      <alignment horizontal="left" vertical="center"/>
    </xf>
    <xf numFmtId="0" fontId="9" fillId="8" borderId="19" xfId="2" applyFont="1" applyFill="1" applyBorder="1" applyAlignment="1">
      <alignment horizontal="center" vertical="center"/>
    </xf>
    <xf numFmtId="166" fontId="9" fillId="0" borderId="12" xfId="3" applyFont="1" applyFill="1" applyBorder="1" applyAlignment="1" applyProtection="1">
      <alignment horizontal="right" vertical="center"/>
    </xf>
    <xf numFmtId="166" fontId="9" fillId="0" borderId="12" xfId="3" applyFont="1" applyFill="1" applyBorder="1" applyAlignment="1" applyProtection="1">
      <alignment horizontal="right" vertical="center"/>
      <protection locked="0"/>
    </xf>
    <xf numFmtId="166" fontId="9" fillId="0" borderId="3" xfId="3" applyFont="1" applyFill="1" applyBorder="1" applyAlignment="1" applyProtection="1">
      <alignment horizontal="right" vertical="center"/>
    </xf>
    <xf numFmtId="0" fontId="9" fillId="6" borderId="0" xfId="2" applyFont="1" applyFill="1" applyAlignment="1">
      <alignment vertical="center"/>
    </xf>
    <xf numFmtId="0" fontId="11" fillId="6" borderId="0" xfId="2" applyFont="1" applyFill="1" applyAlignment="1">
      <alignment horizontal="left" vertical="center"/>
    </xf>
    <xf numFmtId="0" fontId="12" fillId="6" borderId="0" xfId="2" applyFont="1" applyFill="1" applyAlignment="1">
      <alignment horizontal="left" vertical="center"/>
    </xf>
    <xf numFmtId="0" fontId="7" fillId="6" borderId="0" xfId="2" applyFont="1" applyFill="1" applyAlignment="1">
      <alignment horizontal="center" vertical="center"/>
    </xf>
    <xf numFmtId="0" fontId="9" fillId="6" borderId="15" xfId="2" applyFont="1" applyFill="1" applyBorder="1" applyAlignment="1">
      <alignment vertical="center"/>
    </xf>
    <xf numFmtId="0" fontId="13" fillId="6" borderId="0" xfId="2" applyFont="1" applyFill="1" applyAlignment="1">
      <alignment vertical="center"/>
    </xf>
    <xf numFmtId="0" fontId="9" fillId="6" borderId="15" xfId="2" applyFont="1" applyFill="1" applyBorder="1" applyAlignment="1">
      <alignment horizontal="left" vertical="center"/>
    </xf>
    <xf numFmtId="0" fontId="9" fillId="6" borderId="0" xfId="2" applyFont="1" applyFill="1" applyAlignment="1">
      <alignment horizontal="left" vertical="center"/>
    </xf>
    <xf numFmtId="0" fontId="9" fillId="6" borderId="16" xfId="2" applyFont="1" applyFill="1" applyBorder="1" applyAlignment="1">
      <alignment horizontal="left" vertical="center"/>
    </xf>
    <xf numFmtId="0" fontId="3" fillId="6" borderId="15" xfId="0" applyFont="1" applyFill="1" applyBorder="1"/>
    <xf numFmtId="0" fontId="6" fillId="6" borderId="0" xfId="0" applyFont="1" applyFill="1" applyAlignment="1">
      <alignment vertical="center"/>
    </xf>
    <xf numFmtId="49" fontId="3" fillId="6" borderId="18" xfId="0" applyNumberFormat="1" applyFont="1" applyFill="1" applyBorder="1"/>
    <xf numFmtId="0" fontId="3" fillId="6" borderId="5" xfId="0" applyFont="1" applyFill="1" applyBorder="1"/>
    <xf numFmtId="165" fontId="9" fillId="6" borderId="8" xfId="2" applyNumberFormat="1" applyFont="1" applyFill="1" applyBorder="1" applyAlignment="1">
      <alignment horizontal="center" vertical="center"/>
    </xf>
    <xf numFmtId="165" fontId="9" fillId="6" borderId="6" xfId="2" applyNumberFormat="1" applyFont="1" applyFill="1" applyBorder="1" applyAlignment="1">
      <alignment horizontal="center" vertical="center"/>
    </xf>
    <xf numFmtId="165" fontId="9" fillId="6" borderId="21" xfId="2" applyNumberFormat="1" applyFont="1" applyFill="1" applyBorder="1" applyAlignment="1">
      <alignment horizontal="center" vertical="center"/>
    </xf>
    <xf numFmtId="0" fontId="9" fillId="6" borderId="8" xfId="2" applyFont="1" applyFill="1" applyBorder="1" applyAlignment="1">
      <alignment horizontal="center" vertical="center"/>
    </xf>
    <xf numFmtId="165" fontId="9" fillId="6" borderId="19" xfId="2" applyNumberFormat="1" applyFont="1" applyFill="1" applyBorder="1" applyAlignment="1">
      <alignment horizontal="center" vertical="center"/>
    </xf>
    <xf numFmtId="0" fontId="9" fillId="6" borderId="19" xfId="2" applyFont="1" applyFill="1" applyBorder="1" applyAlignment="1">
      <alignment horizontal="center" vertical="center"/>
    </xf>
    <xf numFmtId="0" fontId="7" fillId="6" borderId="19" xfId="2" quotePrefix="1" applyFont="1" applyFill="1" applyBorder="1" applyAlignment="1">
      <alignment horizontal="center" vertical="center" wrapText="1"/>
    </xf>
    <xf numFmtId="10" fontId="9" fillId="6" borderId="12" xfId="4" applyNumberFormat="1" applyFont="1" applyFill="1" applyBorder="1" applyAlignment="1" applyProtection="1">
      <alignment horizontal="right" vertical="center"/>
    </xf>
    <xf numFmtId="165" fontId="9" fillId="6" borderId="12" xfId="2" applyNumberFormat="1" applyFont="1" applyFill="1" applyBorder="1" applyAlignment="1">
      <alignment horizontal="center" vertical="center"/>
    </xf>
    <xf numFmtId="166" fontId="9" fillId="6" borderId="12" xfId="3" applyFont="1" applyFill="1" applyBorder="1" applyAlignment="1" applyProtection="1">
      <alignment horizontal="right" vertical="center"/>
    </xf>
    <xf numFmtId="0" fontId="9" fillId="6" borderId="3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right" vertical="center"/>
    </xf>
    <xf numFmtId="0" fontId="7" fillId="6" borderId="2" xfId="2" applyFont="1" applyFill="1" applyBorder="1" applyAlignment="1">
      <alignment horizontal="right" vertical="center"/>
    </xf>
    <xf numFmtId="166" fontId="9" fillId="6" borderId="3" xfId="3" applyFont="1" applyFill="1" applyBorder="1" applyAlignment="1" applyProtection="1">
      <alignment horizontal="right" vertical="center"/>
    </xf>
    <xf numFmtId="10" fontId="9" fillId="6" borderId="3" xfId="4" applyNumberFormat="1" applyFont="1" applyFill="1" applyBorder="1" applyAlignment="1" applyProtection="1">
      <alignment horizontal="right" vertical="center"/>
    </xf>
    <xf numFmtId="14" fontId="9" fillId="6" borderId="0" xfId="2" applyNumberFormat="1" applyFont="1" applyFill="1" applyAlignment="1">
      <alignment vertical="center"/>
    </xf>
    <xf numFmtId="0" fontId="7" fillId="6" borderId="24" xfId="2" applyFont="1" applyFill="1" applyBorder="1" applyAlignment="1" applyProtection="1">
      <alignment horizontal="left" vertical="center"/>
      <protection locked="0"/>
    </xf>
    <xf numFmtId="0" fontId="9" fillId="6" borderId="24" xfId="2" applyFont="1" applyFill="1" applyBorder="1" applyAlignment="1">
      <alignment vertical="center"/>
    </xf>
    <xf numFmtId="0" fontId="7" fillId="6" borderId="0" xfId="2" applyFont="1" applyFill="1" applyAlignment="1">
      <alignment horizontal="left" vertical="center"/>
    </xf>
    <xf numFmtId="0" fontId="7" fillId="6" borderId="0" xfId="2" applyFont="1" applyFill="1" applyAlignment="1">
      <alignment vertical="center"/>
    </xf>
    <xf numFmtId="0" fontId="9" fillId="0" borderId="0" xfId="0" applyFont="1" applyAlignment="1">
      <alignment wrapText="1"/>
    </xf>
    <xf numFmtId="14" fontId="8" fillId="6" borderId="0" xfId="0" applyNumberFormat="1" applyFont="1" applyFill="1"/>
    <xf numFmtId="165" fontId="9" fillId="6" borderId="23" xfId="2" applyNumberFormat="1" applyFont="1" applyFill="1" applyBorder="1" applyAlignment="1">
      <alignment horizontal="left" vertical="center" wrapText="1"/>
    </xf>
    <xf numFmtId="165" fontId="9" fillId="6" borderId="26" xfId="2" applyNumberFormat="1" applyFont="1" applyFill="1" applyBorder="1" applyAlignment="1">
      <alignment horizontal="left" vertical="center" wrapText="1"/>
    </xf>
    <xf numFmtId="165" fontId="9" fillId="6" borderId="13" xfId="2" applyNumberFormat="1" applyFont="1" applyFill="1" applyBorder="1" applyAlignment="1">
      <alignment horizontal="left" vertical="center" wrapText="1"/>
    </xf>
    <xf numFmtId="43" fontId="3" fillId="6" borderId="23" xfId="1" applyFont="1" applyFill="1" applyBorder="1" applyAlignment="1">
      <alignment horizontal="right" vertical="center"/>
    </xf>
    <xf numFmtId="166" fontId="9" fillId="6" borderId="23" xfId="3" applyFont="1" applyFill="1" applyBorder="1" applyAlignment="1" applyProtection="1">
      <alignment horizontal="right" vertical="center"/>
    </xf>
    <xf numFmtId="166" fontId="9" fillId="6" borderId="19" xfId="3" applyFont="1" applyFill="1" applyBorder="1" applyAlignment="1" applyProtection="1">
      <alignment horizontal="right" vertical="center"/>
    </xf>
    <xf numFmtId="166" fontId="9" fillId="0" borderId="23" xfId="3" applyFont="1" applyFill="1" applyBorder="1" applyAlignment="1" applyProtection="1">
      <alignment horizontal="right" vertical="center"/>
      <protection locked="0"/>
    </xf>
    <xf numFmtId="166" fontId="9" fillId="6" borderId="25" xfId="3" applyFont="1" applyFill="1" applyBorder="1" applyAlignment="1" applyProtection="1">
      <alignment horizontal="right" vertical="center"/>
    </xf>
    <xf numFmtId="166" fontId="9" fillId="0" borderId="25" xfId="3" applyFont="1" applyFill="1" applyBorder="1" applyAlignment="1" applyProtection="1">
      <alignment horizontal="right" vertical="center"/>
      <protection locked="0"/>
    </xf>
    <xf numFmtId="166" fontId="9" fillId="0" borderId="27" xfId="3" applyFont="1" applyFill="1" applyBorder="1" applyAlignment="1" applyProtection="1">
      <alignment horizontal="right" vertical="center"/>
    </xf>
    <xf numFmtId="166" fontId="9" fillId="0" borderId="19" xfId="3" applyFont="1" applyFill="1" applyBorder="1" applyAlignment="1" applyProtection="1">
      <alignment horizontal="right" vertical="center"/>
    </xf>
    <xf numFmtId="165" fontId="9" fillId="6" borderId="28" xfId="2" applyNumberFormat="1" applyFont="1" applyFill="1" applyBorder="1" applyAlignment="1">
      <alignment horizontal="left" vertical="center" wrapText="1"/>
    </xf>
    <xf numFmtId="0" fontId="7" fillId="6" borderId="18" xfId="2" applyFont="1" applyFill="1" applyBorder="1" applyAlignment="1">
      <alignment horizontal="right" vertical="center"/>
    </xf>
    <xf numFmtId="0" fontId="7" fillId="6" borderId="5" xfId="2" applyFont="1" applyFill="1" applyBorder="1" applyAlignment="1">
      <alignment horizontal="right" vertical="center"/>
    </xf>
    <xf numFmtId="165" fontId="9" fillId="6" borderId="25" xfId="2" applyNumberFormat="1" applyFont="1" applyFill="1" applyBorder="1" applyAlignment="1">
      <alignment horizontal="left" vertical="center" wrapText="1"/>
    </xf>
    <xf numFmtId="165" fontId="9" fillId="9" borderId="12" xfId="2" applyNumberFormat="1" applyFont="1" applyFill="1" applyBorder="1" applyAlignment="1">
      <alignment horizontal="center" vertical="center"/>
    </xf>
    <xf numFmtId="165" fontId="9" fillId="9" borderId="23" xfId="2" applyNumberFormat="1" applyFont="1" applyFill="1" applyBorder="1" applyAlignment="1">
      <alignment horizontal="left" vertical="center" wrapText="1"/>
    </xf>
    <xf numFmtId="165" fontId="9" fillId="9" borderId="13" xfId="2" applyNumberFormat="1" applyFont="1" applyFill="1" applyBorder="1" applyAlignment="1">
      <alignment horizontal="left" vertical="center" wrapText="1"/>
    </xf>
    <xf numFmtId="166" fontId="9" fillId="9" borderId="23" xfId="3" applyFont="1" applyFill="1" applyBorder="1" applyAlignment="1" applyProtection="1">
      <alignment horizontal="right" vertical="center"/>
    </xf>
    <xf numFmtId="10" fontId="9" fillId="9" borderId="12" xfId="4" applyNumberFormat="1" applyFont="1" applyFill="1" applyBorder="1" applyAlignment="1" applyProtection="1">
      <alignment horizontal="right" vertical="center"/>
    </xf>
    <xf numFmtId="166" fontId="9" fillId="9" borderId="23" xfId="3" applyFont="1" applyFill="1" applyBorder="1" applyAlignment="1" applyProtection="1">
      <alignment horizontal="right" vertical="center"/>
      <protection locked="0"/>
    </xf>
    <xf numFmtId="166" fontId="9" fillId="9" borderId="12" xfId="3" applyFont="1" applyFill="1" applyBorder="1" applyAlignment="1" applyProtection="1">
      <alignment horizontal="right" vertical="center"/>
    </xf>
    <xf numFmtId="165" fontId="9" fillId="9" borderId="8" xfId="2" applyNumberFormat="1" applyFont="1" applyFill="1" applyBorder="1" applyAlignment="1">
      <alignment horizontal="center" vertical="center"/>
    </xf>
    <xf numFmtId="166" fontId="9" fillId="9" borderId="17" xfId="3" applyFont="1" applyFill="1" applyBorder="1" applyAlignment="1" applyProtection="1">
      <alignment horizontal="right" vertical="center"/>
    </xf>
    <xf numFmtId="166" fontId="9" fillId="9" borderId="17" xfId="3" applyFont="1" applyFill="1" applyBorder="1" applyAlignment="1" applyProtection="1">
      <alignment horizontal="right" vertical="center"/>
      <protection locked="0"/>
    </xf>
    <xf numFmtId="2" fontId="2" fillId="7" borderId="0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0" fontId="7" fillId="0" borderId="0" xfId="0" applyFont="1" applyAlignment="1">
      <alignment wrapText="1"/>
    </xf>
    <xf numFmtId="2" fontId="2" fillId="0" borderId="12" xfId="0" applyNumberFormat="1" applyFont="1" applyBorder="1" applyAlignment="1">
      <alignment horizontal="left" vertical="center" wrapText="1"/>
    </xf>
    <xf numFmtId="43" fontId="2" fillId="0" borderId="14" xfId="1" applyFont="1" applyFill="1" applyBorder="1" applyAlignment="1" applyProtection="1">
      <alignment horizontal="right" vertical="center"/>
    </xf>
    <xf numFmtId="2" fontId="2" fillId="0" borderId="12" xfId="0" applyNumberFormat="1" applyFont="1" applyFill="1" applyBorder="1" applyAlignment="1">
      <alignment horizontal="left" vertical="center" wrapText="1"/>
    </xf>
    <xf numFmtId="41" fontId="2" fillId="0" borderId="12" xfId="0" applyNumberFormat="1" applyFont="1" applyFill="1" applyBorder="1" applyAlignment="1">
      <alignment horizontal="center" vertical="center"/>
    </xf>
    <xf numFmtId="43" fontId="2" fillId="0" borderId="12" xfId="1" applyFont="1" applyFill="1" applyBorder="1" applyAlignment="1" applyProtection="1">
      <alignment horizontal="right" vertical="center"/>
    </xf>
    <xf numFmtId="43" fontId="2" fillId="0" borderId="12" xfId="1" applyFont="1" applyFill="1" applyBorder="1" applyAlignment="1">
      <alignment horizontal="right" vertical="center"/>
    </xf>
    <xf numFmtId="43" fontId="3" fillId="0" borderId="12" xfId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7" borderId="9" xfId="0" applyNumberFormat="1" applyFont="1" applyFill="1" applyBorder="1" applyAlignment="1">
      <alignment horizontal="left" vertical="center" wrapText="1"/>
    </xf>
    <xf numFmtId="165" fontId="9" fillId="6" borderId="14" xfId="2" applyNumberFormat="1" applyFont="1" applyFill="1" applyBorder="1" applyAlignment="1">
      <alignment horizontal="left" vertical="center" wrapText="1"/>
    </xf>
    <xf numFmtId="165" fontId="9" fillId="6" borderId="23" xfId="2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165" fontId="9" fillId="6" borderId="14" xfId="2" applyNumberFormat="1" applyFont="1" applyFill="1" applyBorder="1" applyAlignment="1">
      <alignment vertical="center" wrapText="1"/>
    </xf>
    <xf numFmtId="165" fontId="9" fillId="6" borderId="23" xfId="2" applyNumberFormat="1" applyFont="1" applyFill="1" applyBorder="1" applyAlignment="1">
      <alignment vertical="center" wrapText="1"/>
    </xf>
    <xf numFmtId="166" fontId="9" fillId="6" borderId="17" xfId="3" applyFont="1" applyFill="1" applyBorder="1" applyAlignment="1" applyProtection="1">
      <alignment horizontal="right" vertical="center"/>
    </xf>
    <xf numFmtId="0" fontId="14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165" fontId="9" fillId="6" borderId="18" xfId="2" applyNumberFormat="1" applyFont="1" applyFill="1" applyBorder="1" applyAlignment="1">
      <alignment horizontal="center" vertical="center"/>
    </xf>
    <xf numFmtId="165" fontId="9" fillId="6" borderId="20" xfId="2" applyNumberFormat="1" applyFont="1" applyFill="1" applyBorder="1" applyAlignment="1">
      <alignment horizontal="center" vertical="center"/>
    </xf>
    <xf numFmtId="165" fontId="9" fillId="9" borderId="7" xfId="2" applyNumberFormat="1" applyFont="1" applyFill="1" applyBorder="1" applyAlignment="1">
      <alignment horizontal="left" vertical="center" wrapText="1"/>
    </xf>
    <xf numFmtId="165" fontId="9" fillId="9" borderId="22" xfId="2" applyNumberFormat="1" applyFont="1" applyFill="1" applyBorder="1" applyAlignment="1">
      <alignment horizontal="left" vertical="center" wrapText="1"/>
    </xf>
    <xf numFmtId="0" fontId="7" fillId="6" borderId="18" xfId="2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7" fillId="6" borderId="5" xfId="2" applyFont="1" applyFill="1" applyBorder="1" applyAlignment="1">
      <alignment horizontal="left" vertical="center" wrapText="1"/>
    </xf>
    <xf numFmtId="0" fontId="7" fillId="6" borderId="20" xfId="2" applyFont="1" applyFill="1" applyBorder="1" applyAlignment="1">
      <alignment horizontal="left" vertical="center" wrapText="1"/>
    </xf>
    <xf numFmtId="49" fontId="7" fillId="6" borderId="18" xfId="2" applyNumberFormat="1" applyFont="1" applyFill="1" applyBorder="1" applyAlignment="1">
      <alignment horizontal="left" vertical="center" wrapText="1"/>
    </xf>
    <xf numFmtId="49" fontId="7" fillId="6" borderId="5" xfId="2" applyNumberFormat="1" applyFont="1" applyFill="1" applyBorder="1" applyAlignment="1">
      <alignment horizontal="left" vertical="center" wrapText="1"/>
    </xf>
    <xf numFmtId="49" fontId="7" fillId="6" borderId="20" xfId="2" applyNumberFormat="1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2" xr:uid="{00000000-0005-0000-0000-000001000000}"/>
    <cellStyle name="Porcentagem 2" xfId="4" xr:uid="{00000000-0005-0000-0000-000002000000}"/>
    <cellStyle name="Vírgula" xfId="1" builtinId="3"/>
    <cellStyle name="Vírgula 2" xfId="3" xr:uid="{00000000-0005-0000-0000-000004000000}"/>
  </cellStyles>
  <dxfs count="411"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0</xdr:rowOff>
    </xdr:from>
    <xdr:to>
      <xdr:col>15</xdr:col>
      <xdr:colOff>132359</xdr:colOff>
      <xdr:row>8</xdr:row>
      <xdr:rowOff>56952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BE7CA6E-475C-2A54-5094-B0DE4A6E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4125" y="0"/>
          <a:ext cx="7923809" cy="15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733425</xdr:colOff>
      <xdr:row>1</xdr:row>
      <xdr:rowOff>133350</xdr:rowOff>
    </xdr:to>
    <xdr:sp macro="" textlink="">
      <xdr:nvSpPr>
        <xdr:cNvPr id="2" name="Object 3105" hidden="1">
          <a:extLst>
            <a:ext uri="{63B3BB69-23CF-44E3-9099-C40C66FF867C}">
              <a14:compatExt xmlns:a14="http://schemas.microsoft.com/office/drawing/2010/main" spid="_x0000_s189473"/>
            </a:ext>
            <a:ext uri="{FF2B5EF4-FFF2-40B4-BE49-F238E27FC236}">
              <a16:creationId xmlns:a16="http://schemas.microsoft.com/office/drawing/2014/main" id="{E24E01D8-5670-489B-AB22-A51C15217114}"/>
            </a:ext>
          </a:extLst>
        </xdr:cNvPr>
        <xdr:cNvSpPr/>
      </xdr:nvSpPr>
      <xdr:spPr>
        <a:xfrm>
          <a:off x="2714625" y="0"/>
          <a:ext cx="1371600" cy="295275"/>
        </a:xfrm>
        <a:prstGeom prst="rect">
          <a:avLst/>
        </a:prstGeom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518211</xdr:colOff>
      <xdr:row>2</xdr:row>
      <xdr:rowOff>120668</xdr:rowOff>
    </xdr:to>
    <xdr:pic>
      <xdr:nvPicPr>
        <xdr:cNvPr id="3" name="Picture 3105">
          <a:extLst>
            <a:ext uri="{FF2B5EF4-FFF2-40B4-BE49-F238E27FC236}">
              <a16:creationId xmlns:a16="http://schemas.microsoft.com/office/drawing/2014/main" id="{9DBF5D9F-3280-4A6F-8773-5378F407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4150" y="0"/>
          <a:ext cx="499161" cy="444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95"/>
  <sheetViews>
    <sheetView tabSelected="1" topLeftCell="A11" workbookViewId="0">
      <selection activeCell="N17" sqref="N17"/>
    </sheetView>
  </sheetViews>
  <sheetFormatPr defaultRowHeight="15" x14ac:dyDescent="0.25"/>
  <cols>
    <col min="1" max="4" width="9.140625" style="14"/>
    <col min="5" max="5" width="2.28515625" bestFit="1" customWidth="1"/>
    <col min="6" max="6" width="5.28515625" bestFit="1" customWidth="1"/>
    <col min="7" max="7" width="9.28515625" bestFit="1" customWidth="1"/>
    <col min="8" max="8" width="7.140625" customWidth="1"/>
    <col min="9" max="9" width="42.42578125" customWidth="1"/>
    <col min="10" max="10" width="7" bestFit="1" customWidth="1"/>
    <col min="11" max="11" width="7.85546875" bestFit="1" customWidth="1"/>
    <col min="14" max="14" width="9.5703125" bestFit="1" customWidth="1"/>
    <col min="15" max="15" width="9" bestFit="1" customWidth="1"/>
    <col min="16" max="16" width="5.140625" style="14" bestFit="1" customWidth="1"/>
    <col min="17" max="43" width="9.140625" style="14"/>
  </cols>
  <sheetData>
    <row r="1" spans="5:16" s="14" customFormat="1" x14ac:dyDescent="0.25"/>
    <row r="2" spans="5:16" s="14" customFormat="1" x14ac:dyDescent="0.25"/>
    <row r="3" spans="5:16" s="14" customFormat="1" x14ac:dyDescent="0.25"/>
    <row r="4" spans="5:16" s="14" customFormat="1" x14ac:dyDescent="0.25"/>
    <row r="5" spans="5:16" s="14" customFormat="1" x14ac:dyDescent="0.25"/>
    <row r="6" spans="5:16" s="14" customFormat="1" x14ac:dyDescent="0.25"/>
    <row r="7" spans="5:16" s="14" customFormat="1" x14ac:dyDescent="0.25"/>
    <row r="8" spans="5:16" s="14" customFormat="1" x14ac:dyDescent="0.25"/>
    <row r="9" spans="5:16" s="14" customFormat="1" x14ac:dyDescent="0.25">
      <c r="E9" s="19"/>
      <c r="F9" s="19"/>
      <c r="G9" s="20"/>
      <c r="H9" s="20"/>
      <c r="I9" s="20"/>
      <c r="J9" s="21"/>
      <c r="K9" s="20"/>
      <c r="L9" s="22"/>
      <c r="M9" s="23" t="s">
        <v>26</v>
      </c>
      <c r="N9" s="24">
        <v>0.26850000000000002</v>
      </c>
      <c r="O9" s="25" t="s">
        <v>31</v>
      </c>
      <c r="P9" s="15"/>
    </row>
    <row r="10" spans="5:16" s="14" customFormat="1" x14ac:dyDescent="0.25">
      <c r="E10" s="18"/>
      <c r="F10" s="18"/>
      <c r="G10" s="18"/>
      <c r="H10" s="18"/>
      <c r="I10" s="18"/>
      <c r="J10" s="26"/>
      <c r="K10" s="18"/>
      <c r="L10" s="22"/>
      <c r="M10" s="23" t="s">
        <v>27</v>
      </c>
      <c r="N10" s="24" t="s">
        <v>25</v>
      </c>
      <c r="O10" s="25" t="s">
        <v>32</v>
      </c>
      <c r="P10" s="15"/>
    </row>
    <row r="11" spans="5:16" s="14" customFormat="1" x14ac:dyDescent="0.25">
      <c r="E11" s="27"/>
      <c r="F11" s="22"/>
      <c r="G11" s="23"/>
      <c r="H11" s="23" t="s">
        <v>0</v>
      </c>
      <c r="I11" s="28" t="s">
        <v>98</v>
      </c>
      <c r="J11" s="29"/>
      <c r="K11" s="30"/>
      <c r="L11" s="22"/>
      <c r="M11" s="23" t="s">
        <v>28</v>
      </c>
      <c r="N11" s="24" t="s">
        <v>25</v>
      </c>
      <c r="O11" s="25" t="s">
        <v>33</v>
      </c>
      <c r="P11" s="15"/>
    </row>
    <row r="12" spans="5:16" s="14" customFormat="1" x14ac:dyDescent="0.25">
      <c r="E12" s="27"/>
      <c r="F12" s="22"/>
      <c r="G12" s="23"/>
      <c r="H12" s="23" t="s">
        <v>1</v>
      </c>
      <c r="I12" s="28" t="s">
        <v>19</v>
      </c>
      <c r="J12" s="26"/>
      <c r="K12" s="18"/>
      <c r="L12" s="22"/>
      <c r="M12" s="23" t="s">
        <v>29</v>
      </c>
      <c r="N12" s="24">
        <v>0</v>
      </c>
      <c r="O12" s="25" t="s">
        <v>34</v>
      </c>
      <c r="P12" s="15"/>
    </row>
    <row r="13" spans="5:16" s="14" customFormat="1" ht="33.75" x14ac:dyDescent="0.25">
      <c r="E13" s="20"/>
      <c r="F13" s="31" t="s">
        <v>2</v>
      </c>
      <c r="G13" s="32" t="s">
        <v>3</v>
      </c>
      <c r="H13" s="33" t="s">
        <v>4</v>
      </c>
      <c r="I13" s="34" t="s">
        <v>20</v>
      </c>
      <c r="J13" s="35" t="s">
        <v>21</v>
      </c>
      <c r="K13" s="34" t="s">
        <v>22</v>
      </c>
      <c r="L13" s="34" t="s">
        <v>23</v>
      </c>
      <c r="M13" s="34" t="s">
        <v>30</v>
      </c>
      <c r="N13" s="34" t="s">
        <v>35</v>
      </c>
      <c r="O13" s="16" t="s">
        <v>36</v>
      </c>
      <c r="P13" s="16" t="s">
        <v>37</v>
      </c>
    </row>
    <row r="14" spans="5:16" s="14" customFormat="1" x14ac:dyDescent="0.25">
      <c r="E14" s="36"/>
      <c r="F14" s="37"/>
      <c r="G14" s="38"/>
      <c r="H14" s="38"/>
      <c r="I14" s="39" t="s">
        <v>24</v>
      </c>
      <c r="J14" s="40"/>
      <c r="K14" s="41">
        <v>278488.63</v>
      </c>
      <c r="L14" s="42"/>
      <c r="M14" s="42"/>
      <c r="N14" s="43">
        <f>N15+N124</f>
        <v>734345.77113339026</v>
      </c>
      <c r="O14" s="17" t="s">
        <v>38</v>
      </c>
      <c r="P14" s="17" t="s">
        <v>38</v>
      </c>
    </row>
    <row r="15" spans="5:16" x14ac:dyDescent="0.25">
      <c r="E15" s="1" t="s">
        <v>5</v>
      </c>
      <c r="F15" s="44">
        <v>1</v>
      </c>
      <c r="G15" s="45"/>
      <c r="H15" s="46"/>
      <c r="I15" s="47" t="s">
        <v>109</v>
      </c>
      <c r="J15" s="48" t="s">
        <v>25</v>
      </c>
      <c r="K15" s="49">
        <v>0</v>
      </c>
      <c r="L15" s="50"/>
      <c r="M15" s="51">
        <v>0</v>
      </c>
      <c r="N15" s="52">
        <f>SUM(N16+N26+N32+N61+N68+N76+N80+N99+N109+N115+N122)</f>
        <v>410147.20911895041</v>
      </c>
      <c r="O15" s="12" t="s">
        <v>31</v>
      </c>
      <c r="P15" s="18" t="s">
        <v>25</v>
      </c>
    </row>
    <row r="16" spans="5:16" x14ac:dyDescent="0.25">
      <c r="E16" s="2" t="s">
        <v>6</v>
      </c>
      <c r="F16" s="53" t="s">
        <v>7</v>
      </c>
      <c r="G16" s="54"/>
      <c r="H16" s="55"/>
      <c r="I16" s="47" t="s">
        <v>110</v>
      </c>
      <c r="J16" s="48" t="s">
        <v>25</v>
      </c>
      <c r="K16" s="49">
        <v>0</v>
      </c>
      <c r="L16" s="56">
        <v>0</v>
      </c>
      <c r="M16" s="51">
        <v>0</v>
      </c>
      <c r="N16" s="57">
        <f>SUM(N17:N25)</f>
        <v>17334.475397604005</v>
      </c>
      <c r="O16" s="12" t="s">
        <v>31</v>
      </c>
      <c r="P16" s="18" t="s">
        <v>25</v>
      </c>
    </row>
    <row r="17" spans="5:16" ht="23.25" x14ac:dyDescent="0.25">
      <c r="E17" s="2" t="s">
        <v>8</v>
      </c>
      <c r="F17" s="6" t="s">
        <v>9</v>
      </c>
      <c r="G17" s="4" t="s">
        <v>11</v>
      </c>
      <c r="H17" s="5" t="s">
        <v>111</v>
      </c>
      <c r="I17" s="101" t="s">
        <v>112</v>
      </c>
      <c r="J17" s="8" t="s">
        <v>57</v>
      </c>
      <c r="K17" s="9">
        <v>207.37</v>
      </c>
      <c r="L17" s="10">
        <v>2.89</v>
      </c>
      <c r="M17" s="11">
        <f>L17*1.2685</f>
        <v>3.6659649999999999</v>
      </c>
      <c r="N17" s="13">
        <f>M17*K17</f>
        <v>760.21116204999998</v>
      </c>
      <c r="O17" s="12" t="s">
        <v>31</v>
      </c>
      <c r="P17" s="18" t="s">
        <v>39</v>
      </c>
    </row>
    <row r="18" spans="5:16" ht="34.5" x14ac:dyDescent="0.25">
      <c r="E18" s="2" t="s">
        <v>8</v>
      </c>
      <c r="F18" s="6" t="s">
        <v>10</v>
      </c>
      <c r="G18" s="4" t="s">
        <v>11</v>
      </c>
      <c r="H18" s="5" t="s">
        <v>113</v>
      </c>
      <c r="I18" s="101" t="s">
        <v>114</v>
      </c>
      <c r="J18" s="8" t="s">
        <v>57</v>
      </c>
      <c r="K18" s="9">
        <v>207.37</v>
      </c>
      <c r="L18" s="10">
        <v>58.83</v>
      </c>
      <c r="M18" s="11">
        <f t="shared" ref="M18:M25" si="0">L18*1.2685</f>
        <v>74.625855000000001</v>
      </c>
      <c r="N18" s="13">
        <f t="shared" ref="N18:N25" si="1">M18*K18</f>
        <v>15475.16355135</v>
      </c>
      <c r="O18" s="12" t="s">
        <v>31</v>
      </c>
      <c r="P18" s="18" t="s">
        <v>39</v>
      </c>
    </row>
    <row r="19" spans="5:16" ht="34.5" x14ac:dyDescent="0.25">
      <c r="E19" s="2" t="s">
        <v>8</v>
      </c>
      <c r="F19" s="6" t="s">
        <v>12</v>
      </c>
      <c r="G19" s="4" t="s">
        <v>53</v>
      </c>
      <c r="H19" s="5" t="s">
        <v>54</v>
      </c>
      <c r="I19" s="101" t="s">
        <v>56</v>
      </c>
      <c r="J19" s="8" t="s">
        <v>57</v>
      </c>
      <c r="K19" s="9">
        <v>2.88</v>
      </c>
      <c r="L19" s="10">
        <v>225</v>
      </c>
      <c r="M19" s="11">
        <f t="shared" si="0"/>
        <v>285.41249999999997</v>
      </c>
      <c r="N19" s="13">
        <f t="shared" si="1"/>
        <v>821.98799999999983</v>
      </c>
      <c r="O19" s="12" t="s">
        <v>31</v>
      </c>
      <c r="P19" s="18" t="s">
        <v>39</v>
      </c>
    </row>
    <row r="20" spans="5:16" ht="23.25" x14ac:dyDescent="0.25">
      <c r="E20" s="2" t="s">
        <v>8</v>
      </c>
      <c r="F20" s="6" t="s">
        <v>13</v>
      </c>
      <c r="G20" s="4" t="s">
        <v>11</v>
      </c>
      <c r="H20" s="7" t="s">
        <v>168</v>
      </c>
      <c r="I20" s="101" t="s">
        <v>167</v>
      </c>
      <c r="J20" s="8" t="s">
        <v>116</v>
      </c>
      <c r="K20" s="9">
        <v>0.25</v>
      </c>
      <c r="L20" s="10">
        <v>51.69</v>
      </c>
      <c r="M20" s="11">
        <f t="shared" si="0"/>
        <v>65.568764999999999</v>
      </c>
      <c r="N20" s="13">
        <f t="shared" si="1"/>
        <v>16.39219125</v>
      </c>
      <c r="O20" s="12" t="s">
        <v>31</v>
      </c>
      <c r="P20" s="18" t="s">
        <v>39</v>
      </c>
    </row>
    <row r="21" spans="5:16" ht="23.25" x14ac:dyDescent="0.25">
      <c r="E21" s="2" t="s">
        <v>8</v>
      </c>
      <c r="F21" s="6" t="s">
        <v>14</v>
      </c>
      <c r="G21" s="4" t="s">
        <v>11</v>
      </c>
      <c r="H21" s="5" t="s">
        <v>200</v>
      </c>
      <c r="I21" s="101" t="s">
        <v>199</v>
      </c>
      <c r="J21" s="8" t="s">
        <v>147</v>
      </c>
      <c r="K21" s="9">
        <f>2.54*1.14</f>
        <v>2.8956</v>
      </c>
      <c r="L21" s="10">
        <v>20.69</v>
      </c>
      <c r="M21" s="11">
        <f t="shared" si="0"/>
        <v>26.245265</v>
      </c>
      <c r="N21" s="13">
        <f t="shared" si="1"/>
        <v>75.995789333999994</v>
      </c>
      <c r="O21" s="12" t="s">
        <v>31</v>
      </c>
      <c r="P21" s="18" t="s">
        <v>39</v>
      </c>
    </row>
    <row r="22" spans="5:16" ht="34.5" x14ac:dyDescent="0.25">
      <c r="E22" s="2"/>
      <c r="F22" s="6" t="s">
        <v>237</v>
      </c>
      <c r="G22" s="4" t="s">
        <v>11</v>
      </c>
      <c r="H22" s="5" t="s">
        <v>202</v>
      </c>
      <c r="I22" s="101" t="s">
        <v>201</v>
      </c>
      <c r="J22" s="8" t="s">
        <v>5</v>
      </c>
      <c r="K22" s="9">
        <v>2.65</v>
      </c>
      <c r="L22" s="10">
        <v>0.44</v>
      </c>
      <c r="M22" s="11">
        <f t="shared" si="0"/>
        <v>0.55813999999999997</v>
      </c>
      <c r="N22" s="13">
        <f t="shared" si="1"/>
        <v>1.4790709999999998</v>
      </c>
      <c r="O22" s="12" t="s">
        <v>31</v>
      </c>
      <c r="P22" s="18" t="s">
        <v>39</v>
      </c>
    </row>
    <row r="23" spans="5:16" ht="23.25" x14ac:dyDescent="0.25">
      <c r="E23" s="2"/>
      <c r="F23" s="6" t="s">
        <v>238</v>
      </c>
      <c r="G23" s="4" t="s">
        <v>11</v>
      </c>
      <c r="H23" s="5" t="s">
        <v>204</v>
      </c>
      <c r="I23" s="101" t="s">
        <v>203</v>
      </c>
      <c r="J23" s="8" t="s">
        <v>116</v>
      </c>
      <c r="K23" s="9">
        <v>0.249</v>
      </c>
      <c r="L23" s="10">
        <v>255.48</v>
      </c>
      <c r="M23" s="11">
        <f t="shared" si="0"/>
        <v>324.07637999999997</v>
      </c>
      <c r="N23" s="13">
        <f t="shared" si="1"/>
        <v>80.695018619999999</v>
      </c>
      <c r="O23" s="12" t="s">
        <v>31</v>
      </c>
      <c r="P23" s="18" t="s">
        <v>39</v>
      </c>
    </row>
    <row r="24" spans="5:16" ht="34.5" x14ac:dyDescent="0.25">
      <c r="E24" s="2"/>
      <c r="F24" s="6" t="s">
        <v>239</v>
      </c>
      <c r="G24" s="4" t="s">
        <v>11</v>
      </c>
      <c r="H24" s="5" t="s">
        <v>230</v>
      </c>
      <c r="I24" s="101" t="s">
        <v>229</v>
      </c>
      <c r="J24" s="8" t="s">
        <v>147</v>
      </c>
      <c r="K24" s="9">
        <v>21.48</v>
      </c>
      <c r="L24" s="10">
        <v>3.15</v>
      </c>
      <c r="M24" s="11">
        <f t="shared" si="0"/>
        <v>3.9957749999999996</v>
      </c>
      <c r="N24" s="13">
        <f t="shared" si="1"/>
        <v>85.829246999999995</v>
      </c>
      <c r="O24" s="12" t="s">
        <v>31</v>
      </c>
      <c r="P24" s="18" t="s">
        <v>39</v>
      </c>
    </row>
    <row r="25" spans="5:16" ht="45.75" x14ac:dyDescent="0.25">
      <c r="E25" s="2"/>
      <c r="F25" s="6" t="s">
        <v>240</v>
      </c>
      <c r="G25" s="4" t="s">
        <v>11</v>
      </c>
      <c r="H25" s="5" t="s">
        <v>236</v>
      </c>
      <c r="I25" s="101" t="s">
        <v>235</v>
      </c>
      <c r="J25" s="8" t="s">
        <v>116</v>
      </c>
      <c r="K25" s="9">
        <v>1.56</v>
      </c>
      <c r="L25" s="10">
        <v>8.4499999999999993</v>
      </c>
      <c r="M25" s="11">
        <f t="shared" si="0"/>
        <v>10.718824999999999</v>
      </c>
      <c r="N25" s="13">
        <f t="shared" si="1"/>
        <v>16.721366999999997</v>
      </c>
      <c r="O25" s="12" t="s">
        <v>31</v>
      </c>
      <c r="P25" s="18" t="s">
        <v>39</v>
      </c>
    </row>
    <row r="26" spans="5:16" x14ac:dyDescent="0.25">
      <c r="E26" s="2" t="s">
        <v>6</v>
      </c>
      <c r="F26" s="53" t="s">
        <v>15</v>
      </c>
      <c r="G26" s="54"/>
      <c r="H26" s="58"/>
      <c r="I26" s="59" t="s">
        <v>115</v>
      </c>
      <c r="J26" s="48" t="s">
        <v>25</v>
      </c>
      <c r="K26" s="49">
        <v>0</v>
      </c>
      <c r="L26" s="56"/>
      <c r="M26" s="51">
        <v>0</v>
      </c>
      <c r="N26" s="57">
        <f>SUM(N27:N31)</f>
        <v>4225.8086487769997</v>
      </c>
      <c r="O26" s="12" t="s">
        <v>31</v>
      </c>
      <c r="P26" s="18" t="s">
        <v>39</v>
      </c>
    </row>
    <row r="27" spans="5:16" x14ac:dyDescent="0.25">
      <c r="E27" s="2" t="s">
        <v>8</v>
      </c>
      <c r="F27" s="3" t="s">
        <v>16</v>
      </c>
      <c r="G27" s="4"/>
      <c r="H27" s="5"/>
      <c r="I27" s="130" t="s">
        <v>214</v>
      </c>
      <c r="J27" s="8"/>
      <c r="K27" s="9"/>
      <c r="L27" s="10"/>
      <c r="M27" s="11"/>
      <c r="N27" s="13"/>
      <c r="O27" s="12" t="s">
        <v>31</v>
      </c>
      <c r="P27" s="18" t="s">
        <v>39</v>
      </c>
    </row>
    <row r="28" spans="5:16" ht="34.5" x14ac:dyDescent="0.25">
      <c r="E28" s="2" t="s">
        <v>8</v>
      </c>
      <c r="F28" s="3" t="s">
        <v>334</v>
      </c>
      <c r="G28" s="4" t="s">
        <v>11</v>
      </c>
      <c r="H28" s="5" t="s">
        <v>245</v>
      </c>
      <c r="I28" s="101" t="s">
        <v>244</v>
      </c>
      <c r="J28" s="8" t="s">
        <v>116</v>
      </c>
      <c r="K28" s="9">
        <f>24*1.2*1.2*0.6</f>
        <v>20.735999999999997</v>
      </c>
      <c r="L28" s="10">
        <v>90.59</v>
      </c>
      <c r="M28" s="11">
        <f>L28*1.2685</f>
        <v>114.913415</v>
      </c>
      <c r="N28" s="13">
        <f>M28*K28</f>
        <v>2382.8445734399997</v>
      </c>
      <c r="O28" s="12" t="s">
        <v>31</v>
      </c>
      <c r="P28" s="18" t="s">
        <v>39</v>
      </c>
    </row>
    <row r="29" spans="5:16" ht="34.5" x14ac:dyDescent="0.25">
      <c r="E29" s="2" t="s">
        <v>8</v>
      </c>
      <c r="F29" s="3" t="s">
        <v>17</v>
      </c>
      <c r="G29" s="4" t="s">
        <v>11</v>
      </c>
      <c r="H29" s="5" t="s">
        <v>224</v>
      </c>
      <c r="I29" s="101" t="s">
        <v>223</v>
      </c>
      <c r="J29" s="8" t="s">
        <v>116</v>
      </c>
      <c r="K29" s="9">
        <f>98.5*0.2*0.5</f>
        <v>9.8500000000000014</v>
      </c>
      <c r="L29" s="10">
        <v>118.91</v>
      </c>
      <c r="M29" s="11">
        <f t="shared" ref="M29:M31" si="2">L29*1.2685</f>
        <v>150.837335</v>
      </c>
      <c r="N29" s="13">
        <f t="shared" ref="N29:N31" si="3">M29*K29</f>
        <v>1485.7477497500001</v>
      </c>
      <c r="O29" s="12" t="s">
        <v>31</v>
      </c>
      <c r="P29" s="18" t="s">
        <v>39</v>
      </c>
    </row>
    <row r="30" spans="5:16" x14ac:dyDescent="0.25">
      <c r="E30" s="2" t="s">
        <v>8</v>
      </c>
      <c r="F30" s="3" t="s">
        <v>335</v>
      </c>
      <c r="G30" s="4"/>
      <c r="H30" s="7"/>
      <c r="I30" s="131" t="s">
        <v>117</v>
      </c>
      <c r="J30" s="8"/>
      <c r="K30" s="9"/>
      <c r="L30" s="10"/>
      <c r="M30" s="11">
        <f t="shared" si="2"/>
        <v>0</v>
      </c>
      <c r="N30" s="13">
        <f t="shared" si="3"/>
        <v>0</v>
      </c>
      <c r="O30" s="12" t="s">
        <v>31</v>
      </c>
      <c r="P30" s="18" t="s">
        <v>39</v>
      </c>
    </row>
    <row r="31" spans="5:16" x14ac:dyDescent="0.25">
      <c r="E31" s="2" t="s">
        <v>8</v>
      </c>
      <c r="F31" s="3" t="s">
        <v>18</v>
      </c>
      <c r="G31" s="4" t="s">
        <v>11</v>
      </c>
      <c r="H31" s="5" t="s">
        <v>118</v>
      </c>
      <c r="I31" s="101" t="s">
        <v>119</v>
      </c>
      <c r="J31" s="8" t="s">
        <v>116</v>
      </c>
      <c r="K31" s="9">
        <f>(K28+K29)*0.3</f>
        <v>9.1757999999999988</v>
      </c>
      <c r="L31" s="10">
        <v>30.69</v>
      </c>
      <c r="M31" s="11">
        <f t="shared" si="2"/>
        <v>38.930264999999999</v>
      </c>
      <c r="N31" s="13">
        <f t="shared" si="3"/>
        <v>357.21632558699991</v>
      </c>
      <c r="O31" s="12" t="s">
        <v>31</v>
      </c>
      <c r="P31" s="18" t="s">
        <v>39</v>
      </c>
    </row>
    <row r="32" spans="5:16" x14ac:dyDescent="0.25">
      <c r="E32" s="2" t="s">
        <v>6</v>
      </c>
      <c r="F32" s="53" t="s">
        <v>40</v>
      </c>
      <c r="G32" s="54"/>
      <c r="H32" s="55"/>
      <c r="I32" s="59" t="s">
        <v>122</v>
      </c>
      <c r="J32" s="48" t="s">
        <v>25</v>
      </c>
      <c r="K32" s="49">
        <v>0</v>
      </c>
      <c r="L32" s="56"/>
      <c r="M32" s="51">
        <v>0</v>
      </c>
      <c r="N32" s="57">
        <f>SUM(N33+N38+N49+N54+N45+N59)</f>
        <v>156228.60689991101</v>
      </c>
      <c r="O32" s="12" t="s">
        <v>31</v>
      </c>
      <c r="P32" s="18" t="s">
        <v>39</v>
      </c>
    </row>
    <row r="33" spans="5:16" x14ac:dyDescent="0.25">
      <c r="E33" s="2" t="s">
        <v>6</v>
      </c>
      <c r="F33" s="53"/>
      <c r="G33" s="54"/>
      <c r="H33" s="55"/>
      <c r="I33" s="59" t="s">
        <v>241</v>
      </c>
      <c r="J33" s="48" t="s">
        <v>25</v>
      </c>
      <c r="K33" s="49">
        <v>0</v>
      </c>
      <c r="L33" s="56"/>
      <c r="M33" s="51">
        <v>0</v>
      </c>
      <c r="N33" s="57">
        <f>SUM(N34:N37)</f>
        <v>16807.786860600001</v>
      </c>
      <c r="O33" s="12" t="s">
        <v>31</v>
      </c>
      <c r="P33" s="18" t="s">
        <v>39</v>
      </c>
    </row>
    <row r="34" spans="5:16" ht="34.5" x14ac:dyDescent="0.25">
      <c r="E34" s="2"/>
      <c r="F34" s="3" t="s">
        <v>336</v>
      </c>
      <c r="G34" s="4" t="s">
        <v>11</v>
      </c>
      <c r="H34" s="5" t="s">
        <v>247</v>
      </c>
      <c r="I34" s="101" t="s">
        <v>246</v>
      </c>
      <c r="J34" s="8" t="s">
        <v>147</v>
      </c>
      <c r="K34" s="9">
        <f>(4*0.4)*24</f>
        <v>38.400000000000006</v>
      </c>
      <c r="L34" s="10">
        <v>152.58000000000001</v>
      </c>
      <c r="M34" s="11">
        <f t="shared" ref="M34" si="4">L34*1.2685</f>
        <v>193.54773</v>
      </c>
      <c r="N34" s="13">
        <f t="shared" ref="N34" si="5">M34*K34</f>
        <v>7432.2328320000015</v>
      </c>
      <c r="O34" s="12" t="s">
        <v>31</v>
      </c>
      <c r="P34" s="18" t="s">
        <v>39</v>
      </c>
    </row>
    <row r="35" spans="5:16" ht="23.25" x14ac:dyDescent="0.25">
      <c r="E35" s="2"/>
      <c r="F35" s="3" t="s">
        <v>41</v>
      </c>
      <c r="G35" s="4" t="s">
        <v>11</v>
      </c>
      <c r="H35" s="5" t="s">
        <v>507</v>
      </c>
      <c r="I35" s="101" t="s">
        <v>506</v>
      </c>
      <c r="J35" s="8" t="s">
        <v>131</v>
      </c>
      <c r="K35" s="9">
        <f>396*0.395</f>
        <v>156.42000000000002</v>
      </c>
      <c r="L35" s="10">
        <v>16.28</v>
      </c>
      <c r="M35" s="11">
        <f t="shared" ref="M35" si="6">L35*1.2685</f>
        <v>20.65118</v>
      </c>
      <c r="N35" s="13">
        <f t="shared" ref="N35" si="7">M35*K35</f>
        <v>3230.2575756000006</v>
      </c>
      <c r="O35" s="12" t="s">
        <v>31</v>
      </c>
      <c r="P35" s="18" t="s">
        <v>39</v>
      </c>
    </row>
    <row r="36" spans="5:16" ht="23.25" x14ac:dyDescent="0.25">
      <c r="E36" s="2"/>
      <c r="F36" s="3" t="s">
        <v>42</v>
      </c>
      <c r="G36" s="4" t="s">
        <v>11</v>
      </c>
      <c r="H36" s="5" t="s">
        <v>243</v>
      </c>
      <c r="I36" s="101" t="s">
        <v>242</v>
      </c>
      <c r="J36" s="8" t="s">
        <v>116</v>
      </c>
      <c r="K36" s="9">
        <f>22*1*1*0.05</f>
        <v>1.1000000000000001</v>
      </c>
      <c r="L36" s="10">
        <v>103.5</v>
      </c>
      <c r="M36" s="11">
        <f>L36*1.2685</f>
        <v>131.28975</v>
      </c>
      <c r="N36" s="13">
        <f>M36*K36</f>
        <v>144.41872500000002</v>
      </c>
      <c r="O36" s="12" t="s">
        <v>31</v>
      </c>
      <c r="P36" s="18" t="s">
        <v>39</v>
      </c>
    </row>
    <row r="37" spans="5:16" ht="23.25" x14ac:dyDescent="0.25">
      <c r="E37" s="2"/>
      <c r="F37" s="3" t="s">
        <v>43</v>
      </c>
      <c r="G37" s="4" t="s">
        <v>11</v>
      </c>
      <c r="H37" s="5" t="s">
        <v>138</v>
      </c>
      <c r="I37" s="101" t="s">
        <v>139</v>
      </c>
      <c r="J37" s="8" t="s">
        <v>116</v>
      </c>
      <c r="K37" s="9">
        <f>24*1*1*0.4</f>
        <v>9.6000000000000014</v>
      </c>
      <c r="L37" s="10">
        <v>492.78</v>
      </c>
      <c r="M37" s="11">
        <f t="shared" ref="M37" si="8">L37*1.2685</f>
        <v>625.09142999999995</v>
      </c>
      <c r="N37" s="13">
        <f t="shared" ref="N37" si="9">M37*K37</f>
        <v>6000.8777280000004</v>
      </c>
      <c r="O37" s="12" t="s">
        <v>31</v>
      </c>
      <c r="P37" s="18" t="s">
        <v>39</v>
      </c>
    </row>
    <row r="38" spans="5:16" x14ac:dyDescent="0.25">
      <c r="E38" s="2" t="s">
        <v>6</v>
      </c>
      <c r="F38" s="53"/>
      <c r="G38" s="54"/>
      <c r="H38" s="55"/>
      <c r="I38" s="59" t="s">
        <v>248</v>
      </c>
      <c r="J38" s="48" t="s">
        <v>25</v>
      </c>
      <c r="K38" s="49">
        <v>0</v>
      </c>
      <c r="L38" s="56"/>
      <c r="M38" s="51">
        <v>0</v>
      </c>
      <c r="N38" s="57">
        <f>SUM(N39:N44)</f>
        <v>24411.315910611</v>
      </c>
      <c r="O38" s="12" t="s">
        <v>31</v>
      </c>
      <c r="P38" s="18" t="s">
        <v>39</v>
      </c>
    </row>
    <row r="39" spans="5:16" ht="34.5" x14ac:dyDescent="0.25">
      <c r="E39" s="2"/>
      <c r="F39" s="3" t="s">
        <v>337</v>
      </c>
      <c r="G39" s="4" t="s">
        <v>11</v>
      </c>
      <c r="H39" s="5" t="s">
        <v>120</v>
      </c>
      <c r="I39" s="101" t="s">
        <v>121</v>
      </c>
      <c r="J39" s="8" t="s">
        <v>57</v>
      </c>
      <c r="K39" s="9">
        <f>132.9*0.4*2</f>
        <v>106.32000000000001</v>
      </c>
      <c r="L39" s="10">
        <v>81.86</v>
      </c>
      <c r="M39" s="11">
        <f>L39*1.2685</f>
        <v>103.83941</v>
      </c>
      <c r="N39" s="13">
        <f>M39*K39</f>
        <v>11040.2060712</v>
      </c>
      <c r="O39" s="12" t="s">
        <v>31</v>
      </c>
      <c r="P39" s="18" t="s">
        <v>39</v>
      </c>
    </row>
    <row r="40" spans="5:16" ht="23.25" x14ac:dyDescent="0.25">
      <c r="E40" s="2"/>
      <c r="F40" s="3" t="s">
        <v>338</v>
      </c>
      <c r="G40" s="4" t="s">
        <v>11</v>
      </c>
      <c r="H40" s="5" t="s">
        <v>132</v>
      </c>
      <c r="I40" s="101" t="s">
        <v>127</v>
      </c>
      <c r="J40" s="8" t="s">
        <v>131</v>
      </c>
      <c r="K40" s="9">
        <f>(132.9/0.2)*0.165</f>
        <v>109.6425</v>
      </c>
      <c r="L40" s="10">
        <v>18.91</v>
      </c>
      <c r="M40" s="11">
        <f t="shared" ref="M40:M42" si="10">L40*1.2685</f>
        <v>23.987334999999998</v>
      </c>
      <c r="N40" s="13">
        <f t="shared" ref="N40:N41" si="11">M40*K40</f>
        <v>2630.0313777375</v>
      </c>
      <c r="O40" s="12" t="s">
        <v>31</v>
      </c>
      <c r="P40" s="18" t="s">
        <v>39</v>
      </c>
    </row>
    <row r="41" spans="5:16" ht="23.25" x14ac:dyDescent="0.25">
      <c r="E41" s="2"/>
      <c r="F41" s="3" t="s">
        <v>339</v>
      </c>
      <c r="G41" s="4" t="s">
        <v>11</v>
      </c>
      <c r="H41" s="5" t="s">
        <v>133</v>
      </c>
      <c r="I41" s="101" t="s">
        <v>128</v>
      </c>
      <c r="J41" s="8" t="s">
        <v>131</v>
      </c>
      <c r="K41" s="9">
        <f>(132.9*4)*0.617</f>
        <v>327.99720000000002</v>
      </c>
      <c r="L41" s="10">
        <v>14.48</v>
      </c>
      <c r="M41" s="11">
        <f t="shared" si="10"/>
        <v>18.36788</v>
      </c>
      <c r="N41" s="13">
        <f t="shared" si="11"/>
        <v>6024.6132099360002</v>
      </c>
      <c r="O41" s="12" t="s">
        <v>31</v>
      </c>
      <c r="P41" s="18" t="s">
        <v>39</v>
      </c>
    </row>
    <row r="42" spans="5:16" ht="23.25" x14ac:dyDescent="0.25">
      <c r="E42" s="2"/>
      <c r="F42" s="3" t="s">
        <v>340</v>
      </c>
      <c r="G42" s="4" t="s">
        <v>11</v>
      </c>
      <c r="H42" s="5" t="s">
        <v>243</v>
      </c>
      <c r="I42" s="101" t="s">
        <v>242</v>
      </c>
      <c r="J42" s="8" t="s">
        <v>116</v>
      </c>
      <c r="K42" s="9">
        <f>98.5*0.15*0.05</f>
        <v>0.73875000000000002</v>
      </c>
      <c r="L42" s="10">
        <v>103.5</v>
      </c>
      <c r="M42" s="11">
        <f t="shared" si="10"/>
        <v>131.28975</v>
      </c>
      <c r="N42" s="13">
        <f>M42*K42</f>
        <v>96.990302812500005</v>
      </c>
      <c r="O42" s="12" t="s">
        <v>31</v>
      </c>
      <c r="P42" s="18" t="s">
        <v>39</v>
      </c>
    </row>
    <row r="43" spans="5:16" ht="34.5" x14ac:dyDescent="0.25">
      <c r="E43" s="2"/>
      <c r="F43" s="3" t="s">
        <v>341</v>
      </c>
      <c r="G43" s="4" t="s">
        <v>11</v>
      </c>
      <c r="H43" s="5" t="s">
        <v>137</v>
      </c>
      <c r="I43" s="101" t="s">
        <v>136</v>
      </c>
      <c r="J43" s="8" t="s">
        <v>116</v>
      </c>
      <c r="K43" s="9">
        <v>5.91</v>
      </c>
      <c r="L43" s="10">
        <v>485.55</v>
      </c>
      <c r="M43" s="11">
        <f t="shared" ref="M43" si="12">L43*1.2685</f>
        <v>615.92017499999997</v>
      </c>
      <c r="N43" s="13">
        <f t="shared" ref="N43" si="13">M43*K43</f>
        <v>3640.0882342499999</v>
      </c>
      <c r="O43" s="12" t="s">
        <v>31</v>
      </c>
      <c r="P43" s="18" t="s">
        <v>39</v>
      </c>
    </row>
    <row r="44" spans="5:16" ht="23.25" x14ac:dyDescent="0.25">
      <c r="E44" s="2"/>
      <c r="F44" s="3" t="s">
        <v>342</v>
      </c>
      <c r="G44" s="4" t="s">
        <v>11</v>
      </c>
      <c r="H44" s="5" t="s">
        <v>492</v>
      </c>
      <c r="I44" s="101" t="s">
        <v>491</v>
      </c>
      <c r="J44" s="8" t="s">
        <v>147</v>
      </c>
      <c r="K44" s="9">
        <f>132.9*0.15</f>
        <v>19.934999999999999</v>
      </c>
      <c r="L44" s="10">
        <v>38.729999999999997</v>
      </c>
      <c r="M44" s="11">
        <f t="shared" ref="M44" si="14">L44*1.2685</f>
        <v>49.129004999999992</v>
      </c>
      <c r="N44" s="13">
        <f t="shared" ref="N44" si="15">M44*K44</f>
        <v>979.38671467499978</v>
      </c>
      <c r="O44" s="12" t="s">
        <v>31</v>
      </c>
      <c r="P44" s="18" t="s">
        <v>39</v>
      </c>
    </row>
    <row r="45" spans="5:16" x14ac:dyDescent="0.25">
      <c r="E45" s="2" t="s">
        <v>6</v>
      </c>
      <c r="F45" s="53"/>
      <c r="G45" s="54"/>
      <c r="H45" s="55"/>
      <c r="I45" s="59" t="s">
        <v>251</v>
      </c>
      <c r="J45" s="48" t="s">
        <v>25</v>
      </c>
      <c r="K45" s="49">
        <v>0</v>
      </c>
      <c r="L45" s="56"/>
      <c r="M45" s="51">
        <v>0</v>
      </c>
      <c r="N45" s="51">
        <f>SUM(N46:N48)</f>
        <v>18950.91788967</v>
      </c>
      <c r="O45" s="12" t="s">
        <v>31</v>
      </c>
      <c r="P45" s="18" t="s">
        <v>39</v>
      </c>
    </row>
    <row r="46" spans="5:16" ht="34.5" x14ac:dyDescent="0.25">
      <c r="E46" s="2"/>
      <c r="F46" s="3" t="s">
        <v>343</v>
      </c>
      <c r="G46" s="4" t="s">
        <v>11</v>
      </c>
      <c r="H46" s="5" t="s">
        <v>259</v>
      </c>
      <c r="I46" s="101" t="s">
        <v>258</v>
      </c>
      <c r="J46" s="8" t="s">
        <v>116</v>
      </c>
      <c r="K46" s="9">
        <f>165.23*0.05</f>
        <v>8.2614999999999998</v>
      </c>
      <c r="L46" s="10">
        <v>97.56</v>
      </c>
      <c r="M46" s="11">
        <f t="shared" ref="M46" si="16">L46*1.2685</f>
        <v>123.75485999999999</v>
      </c>
      <c r="N46" s="13">
        <f t="shared" ref="N46" si="17">M46*K46</f>
        <v>1022.40077589</v>
      </c>
      <c r="O46" s="12" t="s">
        <v>31</v>
      </c>
      <c r="P46" s="18" t="s">
        <v>39</v>
      </c>
    </row>
    <row r="47" spans="5:16" ht="34.5" x14ac:dyDescent="0.25">
      <c r="E47" s="2"/>
      <c r="F47" s="3" t="s">
        <v>344</v>
      </c>
      <c r="G47" s="4" t="s">
        <v>53</v>
      </c>
      <c r="H47" s="5" t="s">
        <v>261</v>
      </c>
      <c r="I47" s="101" t="s">
        <v>260</v>
      </c>
      <c r="J47" s="8" t="s">
        <v>147</v>
      </c>
      <c r="K47" s="9">
        <v>190.47</v>
      </c>
      <c r="L47" s="10">
        <v>29.44</v>
      </c>
      <c r="M47" s="11">
        <f t="shared" ref="M47:M48" si="18">L47*1.2685</f>
        <v>37.344639999999998</v>
      </c>
      <c r="N47" s="13">
        <f t="shared" ref="N47:N48" si="19">M47*K47</f>
        <v>7113.0335808</v>
      </c>
      <c r="O47" s="12" t="s">
        <v>31</v>
      </c>
      <c r="P47" s="18" t="s">
        <v>39</v>
      </c>
    </row>
    <row r="48" spans="5:16" ht="34.5" x14ac:dyDescent="0.25">
      <c r="E48" s="2"/>
      <c r="F48" s="3" t="s">
        <v>345</v>
      </c>
      <c r="G48" s="4" t="s">
        <v>11</v>
      </c>
      <c r="H48" s="5" t="s">
        <v>263</v>
      </c>
      <c r="I48" s="101" t="s">
        <v>262</v>
      </c>
      <c r="J48" s="8" t="s">
        <v>116</v>
      </c>
      <c r="K48" s="9">
        <f>190.47*0.1</f>
        <v>19.047000000000001</v>
      </c>
      <c r="L48" s="10">
        <v>447.64</v>
      </c>
      <c r="M48" s="11">
        <f t="shared" si="18"/>
        <v>567.83133999999995</v>
      </c>
      <c r="N48" s="13">
        <f t="shared" si="19"/>
        <v>10815.483532979999</v>
      </c>
      <c r="O48" s="12" t="s">
        <v>31</v>
      </c>
      <c r="P48" s="18" t="s">
        <v>39</v>
      </c>
    </row>
    <row r="49" spans="5:16" x14ac:dyDescent="0.25">
      <c r="E49" s="2" t="s">
        <v>6</v>
      </c>
      <c r="F49" s="53"/>
      <c r="G49" s="54"/>
      <c r="H49" s="55"/>
      <c r="I49" s="59" t="s">
        <v>227</v>
      </c>
      <c r="J49" s="48" t="s">
        <v>25</v>
      </c>
      <c r="K49" s="49">
        <v>0</v>
      </c>
      <c r="L49" s="56"/>
      <c r="M49" s="51">
        <v>0</v>
      </c>
      <c r="N49" s="57">
        <f>SUM(N50:N53)</f>
        <v>13661.185895940002</v>
      </c>
      <c r="O49" s="12" t="s">
        <v>31</v>
      </c>
      <c r="P49" s="18" t="s">
        <v>39</v>
      </c>
    </row>
    <row r="50" spans="5:16" ht="34.5" x14ac:dyDescent="0.25">
      <c r="E50" s="2" t="s">
        <v>8</v>
      </c>
      <c r="F50" s="3" t="s">
        <v>346</v>
      </c>
      <c r="G50" s="4" t="s">
        <v>11</v>
      </c>
      <c r="H50" s="5" t="s">
        <v>123</v>
      </c>
      <c r="I50" s="101" t="s">
        <v>124</v>
      </c>
      <c r="J50" s="8" t="s">
        <v>57</v>
      </c>
      <c r="K50" s="9">
        <f>((0.15*3)*2)+((0.4*3)*2)*19</f>
        <v>46.500000000000007</v>
      </c>
      <c r="L50" s="10">
        <v>134.16</v>
      </c>
      <c r="M50" s="11">
        <f t="shared" ref="M50:M57" si="20">L50*1.2685</f>
        <v>170.18196</v>
      </c>
      <c r="N50" s="13">
        <f t="shared" ref="N50:N57" si="21">M50*K50</f>
        <v>7913.4611400000013</v>
      </c>
      <c r="O50" s="12" t="s">
        <v>31</v>
      </c>
      <c r="P50" s="18" t="s">
        <v>39</v>
      </c>
    </row>
    <row r="51" spans="5:16" ht="45.75" x14ac:dyDescent="0.25">
      <c r="E51" s="2"/>
      <c r="F51" s="3" t="s">
        <v>347</v>
      </c>
      <c r="G51" s="4" t="s">
        <v>11</v>
      </c>
      <c r="H51" s="7" t="s">
        <v>130</v>
      </c>
      <c r="I51" s="101" t="s">
        <v>129</v>
      </c>
      <c r="J51" s="8" t="s">
        <v>131</v>
      </c>
      <c r="K51" s="9">
        <f>19*4*3*0.617</f>
        <v>140.67599999999999</v>
      </c>
      <c r="L51" s="10">
        <v>14.39</v>
      </c>
      <c r="M51" s="11">
        <f t="shared" ref="M51:M53" si="22">L51*1.2685</f>
        <v>18.253715</v>
      </c>
      <c r="N51" s="13">
        <f t="shared" ref="N51:N53" si="23">M51*K51</f>
        <v>2567.8596113399999</v>
      </c>
      <c r="O51" s="12" t="s">
        <v>31</v>
      </c>
      <c r="P51" s="18" t="s">
        <v>39</v>
      </c>
    </row>
    <row r="52" spans="5:16" ht="45.75" x14ac:dyDescent="0.25">
      <c r="E52" s="2"/>
      <c r="F52" s="3" t="s">
        <v>348</v>
      </c>
      <c r="G52" s="4" t="s">
        <v>11</v>
      </c>
      <c r="H52" s="5" t="s">
        <v>134</v>
      </c>
      <c r="I52" s="101" t="s">
        <v>135</v>
      </c>
      <c r="J52" s="8" t="s">
        <v>131</v>
      </c>
      <c r="K52" s="9">
        <f>(3/0.2)*19*0.165</f>
        <v>47.025000000000006</v>
      </c>
      <c r="L52" s="10">
        <v>19.04</v>
      </c>
      <c r="M52" s="11">
        <f t="shared" si="22"/>
        <v>24.152239999999999</v>
      </c>
      <c r="N52" s="13">
        <f t="shared" si="23"/>
        <v>1135.759086</v>
      </c>
      <c r="O52" s="12" t="s">
        <v>31</v>
      </c>
      <c r="P52" s="18" t="s">
        <v>39</v>
      </c>
    </row>
    <row r="53" spans="5:16" ht="34.5" x14ac:dyDescent="0.25">
      <c r="E53" s="2"/>
      <c r="F53" s="3" t="s">
        <v>349</v>
      </c>
      <c r="G53" s="4" t="s">
        <v>11</v>
      </c>
      <c r="H53" s="5" t="s">
        <v>140</v>
      </c>
      <c r="I53" s="101" t="s">
        <v>141</v>
      </c>
      <c r="J53" s="8" t="s">
        <v>116</v>
      </c>
      <c r="K53" s="9">
        <f>19*0.15*0.4*3</f>
        <v>3.4200000000000004</v>
      </c>
      <c r="L53" s="10">
        <v>471.18</v>
      </c>
      <c r="M53" s="11">
        <f t="shared" si="22"/>
        <v>597.69182999999998</v>
      </c>
      <c r="N53" s="13">
        <f t="shared" si="23"/>
        <v>2044.1060586000001</v>
      </c>
      <c r="O53" s="12" t="s">
        <v>31</v>
      </c>
      <c r="P53" s="18" t="s">
        <v>39</v>
      </c>
    </row>
    <row r="54" spans="5:16" x14ac:dyDescent="0.25">
      <c r="E54" s="2" t="s">
        <v>6</v>
      </c>
      <c r="F54" s="53"/>
      <c r="G54" s="54"/>
      <c r="H54" s="55"/>
      <c r="I54" s="59" t="s">
        <v>228</v>
      </c>
      <c r="J54" s="48" t="s">
        <v>25</v>
      </c>
      <c r="K54" s="49">
        <v>0</v>
      </c>
      <c r="L54" s="56"/>
      <c r="M54" s="51">
        <v>0</v>
      </c>
      <c r="N54" s="57">
        <f>SUM(N55:N58)</f>
        <v>38892.888571390002</v>
      </c>
      <c r="O54" s="12" t="s">
        <v>31</v>
      </c>
      <c r="P54" s="18" t="s">
        <v>39</v>
      </c>
    </row>
    <row r="55" spans="5:16" ht="34.5" x14ac:dyDescent="0.25">
      <c r="E55" s="2" t="s">
        <v>8</v>
      </c>
      <c r="F55" s="3" t="s">
        <v>350</v>
      </c>
      <c r="G55" s="4" t="s">
        <v>11</v>
      </c>
      <c r="H55" s="5" t="s">
        <v>125</v>
      </c>
      <c r="I55" s="101" t="s">
        <v>126</v>
      </c>
      <c r="J55" s="8" t="s">
        <v>57</v>
      </c>
      <c r="K55" s="9">
        <v>106.32</v>
      </c>
      <c r="L55" s="10">
        <v>165.99</v>
      </c>
      <c r="M55" s="11">
        <f t="shared" si="20"/>
        <v>210.55831499999999</v>
      </c>
      <c r="N55" s="13">
        <f t="shared" si="21"/>
        <v>22386.560050799999</v>
      </c>
      <c r="O55" s="12" t="s">
        <v>31</v>
      </c>
      <c r="P55" s="18" t="s">
        <v>39</v>
      </c>
    </row>
    <row r="56" spans="5:16" ht="45.75" x14ac:dyDescent="0.25">
      <c r="E56" s="2"/>
      <c r="F56" s="3" t="s">
        <v>351</v>
      </c>
      <c r="G56" s="4" t="s">
        <v>11</v>
      </c>
      <c r="H56" s="7" t="s">
        <v>130</v>
      </c>
      <c r="I56" s="101" t="s">
        <v>129</v>
      </c>
      <c r="J56" s="8" t="s">
        <v>131</v>
      </c>
      <c r="K56" s="9">
        <f>736*0.617</f>
        <v>454.11199999999997</v>
      </c>
      <c r="L56" s="10">
        <v>14.39</v>
      </c>
      <c r="M56" s="11">
        <f t="shared" si="20"/>
        <v>18.253715</v>
      </c>
      <c r="N56" s="13">
        <f t="shared" si="21"/>
        <v>8289.2310260799986</v>
      </c>
      <c r="O56" s="12" t="s">
        <v>31</v>
      </c>
      <c r="P56" s="18" t="s">
        <v>39</v>
      </c>
    </row>
    <row r="57" spans="5:16" ht="45.75" x14ac:dyDescent="0.25">
      <c r="E57" s="2" t="s">
        <v>8</v>
      </c>
      <c r="F57" s="3" t="s">
        <v>352</v>
      </c>
      <c r="G57" s="4" t="s">
        <v>11</v>
      </c>
      <c r="H57" s="5" t="s">
        <v>134</v>
      </c>
      <c r="I57" s="101" t="s">
        <v>135</v>
      </c>
      <c r="J57" s="8" t="s">
        <v>131</v>
      </c>
      <c r="K57" s="9">
        <f>818*0.165</f>
        <v>134.97</v>
      </c>
      <c r="L57" s="10">
        <v>19.04</v>
      </c>
      <c r="M57" s="11">
        <f t="shared" si="20"/>
        <v>24.152239999999999</v>
      </c>
      <c r="N57" s="13">
        <f t="shared" si="21"/>
        <v>3259.8278327999997</v>
      </c>
      <c r="O57" s="12" t="s">
        <v>31</v>
      </c>
      <c r="P57" s="18" t="s">
        <v>39</v>
      </c>
    </row>
    <row r="58" spans="5:16" ht="34.5" x14ac:dyDescent="0.25">
      <c r="E58" s="2" t="s">
        <v>8</v>
      </c>
      <c r="F58" s="3" t="s">
        <v>353</v>
      </c>
      <c r="G58" s="4" t="s">
        <v>11</v>
      </c>
      <c r="H58" s="5" t="s">
        <v>143</v>
      </c>
      <c r="I58" s="101" t="s">
        <v>142</v>
      </c>
      <c r="J58" s="8" t="s">
        <v>116</v>
      </c>
      <c r="K58" s="9">
        <f>132.9*0.15*0.4</f>
        <v>7.9740000000000002</v>
      </c>
      <c r="L58" s="10">
        <v>490.09</v>
      </c>
      <c r="M58" s="11">
        <f t="shared" ref="M58" si="24">L58*1.2685</f>
        <v>621.6791649999999</v>
      </c>
      <c r="N58" s="13">
        <f t="shared" ref="N58" si="25">M58*K58</f>
        <v>4957.2696617099991</v>
      </c>
      <c r="O58" s="12" t="s">
        <v>31</v>
      </c>
      <c r="P58" s="18" t="s">
        <v>39</v>
      </c>
    </row>
    <row r="59" spans="5:16" x14ac:dyDescent="0.25">
      <c r="E59" s="2" t="s">
        <v>6</v>
      </c>
      <c r="F59" s="53"/>
      <c r="G59" s="54"/>
      <c r="H59" s="55"/>
      <c r="I59" s="59" t="s">
        <v>268</v>
      </c>
      <c r="J59" s="48" t="s">
        <v>25</v>
      </c>
      <c r="K59" s="49">
        <v>0</v>
      </c>
      <c r="L59" s="56"/>
      <c r="M59" s="51">
        <v>0</v>
      </c>
      <c r="N59" s="57">
        <f>SUM(N60:N60)</f>
        <v>43504.511771699996</v>
      </c>
      <c r="O59" s="12" t="s">
        <v>31</v>
      </c>
      <c r="P59" s="18" t="s">
        <v>39</v>
      </c>
    </row>
    <row r="60" spans="5:16" ht="34.5" x14ac:dyDescent="0.25">
      <c r="E60" s="2"/>
      <c r="F60" s="3" t="s">
        <v>354</v>
      </c>
      <c r="G60" s="4" t="s">
        <v>11</v>
      </c>
      <c r="H60" s="5" t="s">
        <v>273</v>
      </c>
      <c r="I60" s="101" t="s">
        <v>272</v>
      </c>
      <c r="J60" s="8" t="s">
        <v>147</v>
      </c>
      <c r="K60" s="9">
        <v>190.47</v>
      </c>
      <c r="L60" s="10">
        <v>180.06</v>
      </c>
      <c r="M60" s="11">
        <f>L60*1.2685</f>
        <v>228.40610999999998</v>
      </c>
      <c r="N60" s="13">
        <f>M60*K60</f>
        <v>43504.511771699996</v>
      </c>
      <c r="O60" s="12" t="s">
        <v>31</v>
      </c>
      <c r="P60" s="18" t="s">
        <v>39</v>
      </c>
    </row>
    <row r="61" spans="5:16" x14ac:dyDescent="0.25">
      <c r="E61" s="2" t="s">
        <v>6</v>
      </c>
      <c r="F61" s="53" t="s">
        <v>44</v>
      </c>
      <c r="G61" s="54"/>
      <c r="H61" s="58"/>
      <c r="I61" s="59" t="s">
        <v>144</v>
      </c>
      <c r="J61" s="48" t="s">
        <v>25</v>
      </c>
      <c r="K61" s="49"/>
      <c r="L61" s="56"/>
      <c r="M61" s="51"/>
      <c r="N61" s="57">
        <f>SUM(N62:N67)</f>
        <v>62709.730143899993</v>
      </c>
      <c r="O61" s="12" t="s">
        <v>31</v>
      </c>
      <c r="P61" s="18" t="s">
        <v>39</v>
      </c>
    </row>
    <row r="62" spans="5:16" ht="45.75" x14ac:dyDescent="0.25">
      <c r="E62" s="2" t="s">
        <v>8</v>
      </c>
      <c r="F62" s="3" t="s">
        <v>45</v>
      </c>
      <c r="G62" s="4" t="s">
        <v>11</v>
      </c>
      <c r="H62" s="5" t="s">
        <v>146</v>
      </c>
      <c r="I62" s="101" t="s">
        <v>145</v>
      </c>
      <c r="J62" s="8" t="s">
        <v>147</v>
      </c>
      <c r="K62" s="9">
        <v>284.75</v>
      </c>
      <c r="L62" s="10">
        <v>81.48</v>
      </c>
      <c r="M62" s="11">
        <f>L62*1.2685</f>
        <v>103.35738000000001</v>
      </c>
      <c r="N62" s="13">
        <f>M62*K62</f>
        <v>29431.013955000002</v>
      </c>
      <c r="O62" s="12" t="s">
        <v>31</v>
      </c>
      <c r="P62" s="18" t="s">
        <v>39</v>
      </c>
    </row>
    <row r="63" spans="5:16" ht="34.5" x14ac:dyDescent="0.25">
      <c r="E63" s="2"/>
      <c r="F63" s="3" t="s">
        <v>355</v>
      </c>
      <c r="G63" s="4" t="s">
        <v>11</v>
      </c>
      <c r="H63" s="5" t="s">
        <v>275</v>
      </c>
      <c r="I63" s="101" t="s">
        <v>274</v>
      </c>
      <c r="J63" s="8" t="s">
        <v>147</v>
      </c>
      <c r="K63" s="9">
        <v>122.02</v>
      </c>
      <c r="L63" s="10">
        <v>149.77000000000001</v>
      </c>
      <c r="M63" s="11">
        <f>L63*1.2685</f>
        <v>189.98324500000001</v>
      </c>
      <c r="N63" s="13">
        <f>M63*K63</f>
        <v>23181.755554899999</v>
      </c>
      <c r="O63" s="12" t="s">
        <v>31</v>
      </c>
      <c r="P63" s="18" t="s">
        <v>39</v>
      </c>
    </row>
    <row r="64" spans="5:16" ht="23.25" x14ac:dyDescent="0.25">
      <c r="E64" s="2" t="s">
        <v>8</v>
      </c>
      <c r="F64" s="3" t="s">
        <v>356</v>
      </c>
      <c r="G64" s="4" t="s">
        <v>11</v>
      </c>
      <c r="H64" s="7" t="s">
        <v>253</v>
      </c>
      <c r="I64" s="101" t="s">
        <v>252</v>
      </c>
      <c r="J64" s="8" t="s">
        <v>5</v>
      </c>
      <c r="K64" s="9">
        <v>19.2</v>
      </c>
      <c r="L64" s="10">
        <v>113.59</v>
      </c>
      <c r="M64" s="11">
        <f t="shared" ref="M64:M66" si="26">L64*1.2685</f>
        <v>144.08891499999999</v>
      </c>
      <c r="N64" s="13">
        <f t="shared" ref="N64:N66" si="27">M64*K64</f>
        <v>2766.5071679999996</v>
      </c>
      <c r="O64" s="12" t="s">
        <v>31</v>
      </c>
      <c r="P64" s="18" t="s">
        <v>39</v>
      </c>
    </row>
    <row r="65" spans="5:16" ht="23.25" x14ac:dyDescent="0.25">
      <c r="E65" s="2" t="s">
        <v>8</v>
      </c>
      <c r="F65" s="3" t="s">
        <v>46</v>
      </c>
      <c r="G65" s="4" t="s">
        <v>11</v>
      </c>
      <c r="H65" s="5" t="s">
        <v>255</v>
      </c>
      <c r="I65" s="101" t="s">
        <v>254</v>
      </c>
      <c r="J65" s="8" t="s">
        <v>5</v>
      </c>
      <c r="K65" s="9">
        <v>19.2</v>
      </c>
      <c r="L65" s="10">
        <v>108.72</v>
      </c>
      <c r="M65" s="11">
        <f t="shared" si="26"/>
        <v>137.91131999999999</v>
      </c>
      <c r="N65" s="13">
        <f t="shared" si="27"/>
        <v>2647.8973439999995</v>
      </c>
      <c r="O65" s="12" t="s">
        <v>31</v>
      </c>
      <c r="P65" s="18" t="s">
        <v>39</v>
      </c>
    </row>
    <row r="66" spans="5:16" ht="23.25" x14ac:dyDescent="0.25">
      <c r="E66" s="2"/>
      <c r="F66" s="3" t="s">
        <v>47</v>
      </c>
      <c r="G66" s="4" t="s">
        <v>11</v>
      </c>
      <c r="H66" s="5" t="s">
        <v>257</v>
      </c>
      <c r="I66" s="101" t="s">
        <v>256</v>
      </c>
      <c r="J66" s="8" t="s">
        <v>5</v>
      </c>
      <c r="K66" s="9">
        <v>4.4000000000000004</v>
      </c>
      <c r="L66" s="10">
        <v>90.47</v>
      </c>
      <c r="M66" s="11">
        <f t="shared" si="26"/>
        <v>114.761195</v>
      </c>
      <c r="N66" s="13">
        <f t="shared" si="27"/>
        <v>504.94925800000004</v>
      </c>
      <c r="O66" s="12" t="s">
        <v>31</v>
      </c>
      <c r="P66" s="18" t="s">
        <v>39</v>
      </c>
    </row>
    <row r="67" spans="5:16" ht="23.25" x14ac:dyDescent="0.25">
      <c r="E67" s="2"/>
      <c r="F67" s="3" t="s">
        <v>357</v>
      </c>
      <c r="G67" s="4" t="s">
        <v>53</v>
      </c>
      <c r="H67" s="5" t="s">
        <v>504</v>
      </c>
      <c r="I67" s="101" t="s">
        <v>503</v>
      </c>
      <c r="J67" s="8" t="s">
        <v>5</v>
      </c>
      <c r="K67" s="9">
        <f>7.9+11.5</f>
        <v>19.399999999999999</v>
      </c>
      <c r="L67" s="10">
        <v>169.76</v>
      </c>
      <c r="M67" s="11">
        <f t="shared" ref="M67" si="28">L67*1.2685</f>
        <v>215.34055999999998</v>
      </c>
      <c r="N67" s="13">
        <f t="shared" ref="N67" si="29">M67*K67</f>
        <v>4177.6068639999994</v>
      </c>
      <c r="O67" s="12" t="s">
        <v>31</v>
      </c>
      <c r="P67" s="18" t="s">
        <v>39</v>
      </c>
    </row>
    <row r="68" spans="5:16" x14ac:dyDescent="0.25">
      <c r="E68" s="2" t="s">
        <v>6</v>
      </c>
      <c r="F68" s="53" t="s">
        <v>48</v>
      </c>
      <c r="G68" s="54"/>
      <c r="H68" s="58"/>
      <c r="I68" s="59" t="s">
        <v>270</v>
      </c>
      <c r="J68" s="48" t="s">
        <v>25</v>
      </c>
      <c r="K68" s="49"/>
      <c r="L68" s="56"/>
      <c r="M68" s="51"/>
      <c r="N68" s="57">
        <f>SUM(N69:N75)</f>
        <v>8326.0915049999985</v>
      </c>
      <c r="O68" s="12" t="s">
        <v>31</v>
      </c>
      <c r="P68" s="18" t="s">
        <v>39</v>
      </c>
    </row>
    <row r="69" spans="5:16" ht="34.5" x14ac:dyDescent="0.25">
      <c r="E69" s="2"/>
      <c r="F69" s="3" t="s">
        <v>58</v>
      </c>
      <c r="G69" s="4" t="s">
        <v>11</v>
      </c>
      <c r="H69" s="5" t="s">
        <v>290</v>
      </c>
      <c r="I69" s="101" t="s">
        <v>289</v>
      </c>
      <c r="J69" s="8" t="s">
        <v>295</v>
      </c>
      <c r="K69" s="9">
        <v>19</v>
      </c>
      <c r="L69" s="10">
        <v>205.93</v>
      </c>
      <c r="M69" s="11">
        <f t="shared" ref="M69:M70" si="30">L69*1.2685</f>
        <v>261.22220499999997</v>
      </c>
      <c r="N69" s="13">
        <f t="shared" ref="N69:N70" si="31">M69*K69</f>
        <v>4963.2218949999997</v>
      </c>
      <c r="O69" s="12" t="s">
        <v>31</v>
      </c>
      <c r="P69" s="18" t="s">
        <v>39</v>
      </c>
    </row>
    <row r="70" spans="5:16" ht="34.5" x14ac:dyDescent="0.25">
      <c r="E70" s="2"/>
      <c r="F70" s="3"/>
      <c r="G70" s="4" t="s">
        <v>11</v>
      </c>
      <c r="H70" s="5" t="s">
        <v>511</v>
      </c>
      <c r="I70" s="101" t="s">
        <v>510</v>
      </c>
      <c r="J70" s="8" t="s">
        <v>295</v>
      </c>
      <c r="K70" s="9">
        <v>2</v>
      </c>
      <c r="L70" s="10">
        <v>186.56</v>
      </c>
      <c r="M70" s="11">
        <f t="shared" si="30"/>
        <v>236.65135999999998</v>
      </c>
      <c r="N70" s="13">
        <f t="shared" si="31"/>
        <v>473.30271999999997</v>
      </c>
      <c r="O70" s="12"/>
      <c r="P70" s="18"/>
    </row>
    <row r="71" spans="5:16" ht="57" x14ac:dyDescent="0.25">
      <c r="E71" s="2"/>
      <c r="F71" s="3" t="s">
        <v>59</v>
      </c>
      <c r="G71" s="4" t="s">
        <v>11</v>
      </c>
      <c r="H71" s="5" t="s">
        <v>292</v>
      </c>
      <c r="I71" s="101" t="s">
        <v>291</v>
      </c>
      <c r="J71" s="8" t="s">
        <v>295</v>
      </c>
      <c r="K71" s="9">
        <v>6</v>
      </c>
      <c r="L71" s="10">
        <v>203.87</v>
      </c>
      <c r="M71" s="11">
        <f t="shared" ref="M71:M75" si="32">L71*1.2685</f>
        <v>258.60909500000002</v>
      </c>
      <c r="N71" s="13">
        <f t="shared" ref="N71:N75" si="33">M71*K71</f>
        <v>1551.6545700000001</v>
      </c>
      <c r="O71" s="12" t="s">
        <v>31</v>
      </c>
      <c r="P71" s="18" t="s">
        <v>39</v>
      </c>
    </row>
    <row r="72" spans="5:16" ht="23.25" x14ac:dyDescent="0.25">
      <c r="E72" s="2"/>
      <c r="F72" s="3" t="s">
        <v>60</v>
      </c>
      <c r="G72" s="4" t="s">
        <v>11</v>
      </c>
      <c r="H72" s="5" t="s">
        <v>509</v>
      </c>
      <c r="I72" s="101" t="s">
        <v>508</v>
      </c>
      <c r="J72" s="8" t="s">
        <v>295</v>
      </c>
      <c r="K72" s="9">
        <v>18</v>
      </c>
      <c r="L72" s="10">
        <v>32.229999999999997</v>
      </c>
      <c r="M72" s="11">
        <f t="shared" si="32"/>
        <v>40.883754999999994</v>
      </c>
      <c r="N72" s="13">
        <f t="shared" si="33"/>
        <v>735.90758999999991</v>
      </c>
      <c r="O72" s="12"/>
      <c r="P72" s="18"/>
    </row>
    <row r="73" spans="5:16" ht="34.5" x14ac:dyDescent="0.25">
      <c r="E73" s="2"/>
      <c r="F73" s="3" t="s">
        <v>61</v>
      </c>
      <c r="G73" s="4" t="s">
        <v>11</v>
      </c>
      <c r="H73" s="5" t="s">
        <v>294</v>
      </c>
      <c r="I73" s="101" t="s">
        <v>293</v>
      </c>
      <c r="J73" s="8" t="s">
        <v>295</v>
      </c>
      <c r="K73" s="9">
        <v>1</v>
      </c>
      <c r="L73" s="10">
        <v>86.75</v>
      </c>
      <c r="M73" s="11">
        <f t="shared" si="32"/>
        <v>110.04237499999999</v>
      </c>
      <c r="N73" s="13">
        <f t="shared" si="33"/>
        <v>110.04237499999999</v>
      </c>
      <c r="O73" s="12"/>
      <c r="P73" s="18"/>
    </row>
    <row r="74" spans="5:16" ht="23.25" x14ac:dyDescent="0.25">
      <c r="E74" s="2"/>
      <c r="F74" s="3" t="s">
        <v>358</v>
      </c>
      <c r="G74" s="4" t="s">
        <v>11</v>
      </c>
      <c r="H74" s="5" t="s">
        <v>298</v>
      </c>
      <c r="I74" s="101" t="s">
        <v>296</v>
      </c>
      <c r="J74" s="8" t="s">
        <v>295</v>
      </c>
      <c r="K74" s="9">
        <v>3</v>
      </c>
      <c r="L74" s="10">
        <v>73.97</v>
      </c>
      <c r="M74" s="11">
        <f t="shared" si="32"/>
        <v>93.830945</v>
      </c>
      <c r="N74" s="13">
        <f t="shared" si="33"/>
        <v>281.49283500000001</v>
      </c>
      <c r="O74" s="12"/>
      <c r="P74" s="18"/>
    </row>
    <row r="75" spans="5:16" ht="23.25" x14ac:dyDescent="0.25">
      <c r="E75" s="2"/>
      <c r="F75" s="3" t="s">
        <v>359</v>
      </c>
      <c r="G75" s="4" t="s">
        <v>11</v>
      </c>
      <c r="H75" s="5" t="s">
        <v>299</v>
      </c>
      <c r="I75" s="101" t="s">
        <v>297</v>
      </c>
      <c r="J75" s="8" t="s">
        <v>295</v>
      </c>
      <c r="K75" s="9">
        <v>2</v>
      </c>
      <c r="L75" s="10">
        <v>82.96</v>
      </c>
      <c r="M75" s="11">
        <f t="shared" si="32"/>
        <v>105.23475999999999</v>
      </c>
      <c r="N75" s="13">
        <f t="shared" si="33"/>
        <v>210.46951999999999</v>
      </c>
      <c r="O75" s="12" t="s">
        <v>31</v>
      </c>
      <c r="P75" s="18" t="s">
        <v>39</v>
      </c>
    </row>
    <row r="76" spans="5:16" x14ac:dyDescent="0.25">
      <c r="E76" s="2" t="s">
        <v>6</v>
      </c>
      <c r="F76" s="53" t="s">
        <v>62</v>
      </c>
      <c r="G76" s="54"/>
      <c r="H76" s="58"/>
      <c r="I76" s="59" t="s">
        <v>271</v>
      </c>
      <c r="J76" s="48" t="s">
        <v>25</v>
      </c>
      <c r="K76" s="49"/>
      <c r="L76" s="56"/>
      <c r="M76" s="51"/>
      <c r="N76" s="57">
        <f>SUM(N77:N79)</f>
        <v>2695.2580600000001</v>
      </c>
      <c r="O76" s="12" t="s">
        <v>31</v>
      </c>
      <c r="P76" s="18" t="s">
        <v>39</v>
      </c>
    </row>
    <row r="77" spans="5:16" ht="57" x14ac:dyDescent="0.25">
      <c r="E77" s="2"/>
      <c r="F77" s="3" t="s">
        <v>49</v>
      </c>
      <c r="G77" s="4" t="s">
        <v>11</v>
      </c>
      <c r="H77" s="5" t="s">
        <v>307</v>
      </c>
      <c r="I77" s="101" t="s">
        <v>306</v>
      </c>
      <c r="J77" s="8" t="s">
        <v>5</v>
      </c>
      <c r="K77" s="9">
        <v>10</v>
      </c>
      <c r="L77" s="10">
        <v>73.94</v>
      </c>
      <c r="M77" s="11">
        <f t="shared" ref="M77:M78" si="34">L77*1.2685</f>
        <v>93.79289</v>
      </c>
      <c r="N77" s="13">
        <f t="shared" ref="N77:N78" si="35">M77*K77</f>
        <v>937.9289</v>
      </c>
      <c r="O77" s="12" t="s">
        <v>31</v>
      </c>
      <c r="P77" s="18" t="s">
        <v>39</v>
      </c>
    </row>
    <row r="78" spans="5:16" ht="23.25" x14ac:dyDescent="0.25">
      <c r="E78" s="2"/>
      <c r="F78" s="3" t="s">
        <v>50</v>
      </c>
      <c r="G78" s="4" t="s">
        <v>53</v>
      </c>
      <c r="H78" s="5" t="s">
        <v>309</v>
      </c>
      <c r="I78" s="101" t="s">
        <v>308</v>
      </c>
      <c r="J78" s="8" t="s">
        <v>209</v>
      </c>
      <c r="K78" s="9">
        <v>8</v>
      </c>
      <c r="L78" s="10">
        <v>30.42</v>
      </c>
      <c r="M78" s="11">
        <f t="shared" si="34"/>
        <v>38.587769999999999</v>
      </c>
      <c r="N78" s="13">
        <f t="shared" si="35"/>
        <v>308.70215999999999</v>
      </c>
      <c r="O78" s="12" t="s">
        <v>31</v>
      </c>
      <c r="P78" s="18" t="s">
        <v>39</v>
      </c>
    </row>
    <row r="79" spans="5:16" ht="45.75" x14ac:dyDescent="0.25">
      <c r="E79" s="2"/>
      <c r="F79" s="3" t="s">
        <v>51</v>
      </c>
      <c r="G79" s="4" t="s">
        <v>11</v>
      </c>
      <c r="H79" s="5" t="s">
        <v>498</v>
      </c>
      <c r="I79" s="101" t="s">
        <v>497</v>
      </c>
      <c r="J79" s="8" t="s">
        <v>209</v>
      </c>
      <c r="K79" s="9">
        <v>1</v>
      </c>
      <c r="L79" s="10">
        <v>1142</v>
      </c>
      <c r="M79" s="11">
        <f t="shared" ref="M79" si="36">L79*1.2685</f>
        <v>1448.627</v>
      </c>
      <c r="N79" s="13">
        <f t="shared" ref="N79" si="37">M79*K79</f>
        <v>1448.627</v>
      </c>
      <c r="O79" s="12" t="s">
        <v>31</v>
      </c>
      <c r="P79" s="18" t="s">
        <v>39</v>
      </c>
    </row>
    <row r="80" spans="5:16" x14ac:dyDescent="0.25">
      <c r="E80" s="2" t="s">
        <v>6</v>
      </c>
      <c r="F80" s="53" t="s">
        <v>52</v>
      </c>
      <c r="G80" s="54"/>
      <c r="H80" s="58"/>
      <c r="I80" s="59" t="s">
        <v>157</v>
      </c>
      <c r="J80" s="48" t="s">
        <v>25</v>
      </c>
      <c r="K80" s="49">
        <v>0</v>
      </c>
      <c r="L80" s="56"/>
      <c r="M80" s="51">
        <v>0</v>
      </c>
      <c r="N80" s="57">
        <f>SUM(N81+N89)+N96</f>
        <v>67622.988662802993</v>
      </c>
      <c r="O80" s="12" t="s">
        <v>31</v>
      </c>
      <c r="P80" s="18" t="s">
        <v>39</v>
      </c>
    </row>
    <row r="81" spans="5:16" x14ac:dyDescent="0.25">
      <c r="E81" s="2"/>
      <c r="F81" s="53"/>
      <c r="G81" s="54"/>
      <c r="H81" s="58"/>
      <c r="I81" s="59" t="s">
        <v>249</v>
      </c>
      <c r="J81" s="48"/>
      <c r="K81" s="49"/>
      <c r="L81" s="56"/>
      <c r="M81" s="51"/>
      <c r="N81" s="57">
        <f>SUM(N82:N88)</f>
        <v>32553.268675269996</v>
      </c>
      <c r="O81" s="12" t="s">
        <v>31</v>
      </c>
      <c r="P81" s="18" t="s">
        <v>39</v>
      </c>
    </row>
    <row r="82" spans="5:16" x14ac:dyDescent="0.25">
      <c r="E82" s="2" t="s">
        <v>8</v>
      </c>
      <c r="F82" s="3" t="s">
        <v>360</v>
      </c>
      <c r="G82" s="4"/>
      <c r="H82" s="5"/>
      <c r="I82" s="131" t="s">
        <v>205</v>
      </c>
      <c r="J82" s="8"/>
      <c r="K82" s="9"/>
      <c r="L82" s="10"/>
      <c r="M82" s="11"/>
      <c r="N82" s="13"/>
      <c r="O82" s="12" t="s">
        <v>31</v>
      </c>
      <c r="P82" s="18" t="s">
        <v>39</v>
      </c>
    </row>
    <row r="83" spans="5:16" ht="34.5" x14ac:dyDescent="0.25">
      <c r="E83" s="2" t="s">
        <v>8</v>
      </c>
      <c r="F83" s="3" t="s">
        <v>361</v>
      </c>
      <c r="G83" s="4" t="s">
        <v>11</v>
      </c>
      <c r="H83" s="5" t="s">
        <v>159</v>
      </c>
      <c r="I83" s="101" t="s">
        <v>158</v>
      </c>
      <c r="J83" s="8" t="s">
        <v>116</v>
      </c>
      <c r="K83" s="9">
        <f>(81.35*3*2)*0.005</f>
        <v>2.4404999999999997</v>
      </c>
      <c r="L83" s="10">
        <v>564.64</v>
      </c>
      <c r="M83" s="11">
        <f t="shared" ref="M83:M95" si="38">L83*1.2685</f>
        <v>716.24583999999993</v>
      </c>
      <c r="N83" s="13">
        <f>M83*K83</f>
        <v>1747.9979725199996</v>
      </c>
      <c r="O83" s="12" t="s">
        <v>31</v>
      </c>
      <c r="P83" s="18" t="s">
        <v>39</v>
      </c>
    </row>
    <row r="84" spans="5:16" ht="45.75" x14ac:dyDescent="0.25">
      <c r="E84" s="2" t="s">
        <v>8</v>
      </c>
      <c r="F84" s="3" t="s">
        <v>362</v>
      </c>
      <c r="G84" s="4" t="s">
        <v>11</v>
      </c>
      <c r="H84" s="5" t="s">
        <v>160</v>
      </c>
      <c r="I84" s="101" t="s">
        <v>161</v>
      </c>
      <c r="J84" s="8" t="s">
        <v>116</v>
      </c>
      <c r="K84" s="9">
        <f>(81.35*3*2)*0.01</f>
        <v>4.8809999999999993</v>
      </c>
      <c r="L84" s="10">
        <v>554.70000000000005</v>
      </c>
      <c r="M84" s="11">
        <f t="shared" si="38"/>
        <v>703.63695000000007</v>
      </c>
      <c r="N84" s="13">
        <f>M84*K84</f>
        <v>3434.4519529499998</v>
      </c>
      <c r="O84" s="12" t="s">
        <v>31</v>
      </c>
      <c r="P84" s="18" t="s">
        <v>39</v>
      </c>
    </row>
    <row r="85" spans="5:16" x14ac:dyDescent="0.25">
      <c r="E85" s="2" t="s">
        <v>8</v>
      </c>
      <c r="F85" s="3" t="s">
        <v>363</v>
      </c>
      <c r="G85" s="4"/>
      <c r="H85" s="7"/>
      <c r="I85" s="131" t="s">
        <v>222</v>
      </c>
      <c r="J85" s="8"/>
      <c r="K85" s="9"/>
      <c r="L85" s="10"/>
      <c r="M85" s="11"/>
      <c r="N85" s="13"/>
      <c r="O85" s="12" t="s">
        <v>31</v>
      </c>
      <c r="P85" s="18" t="s">
        <v>39</v>
      </c>
    </row>
    <row r="86" spans="5:16" x14ac:dyDescent="0.25">
      <c r="E86" s="2"/>
      <c r="F86" s="3" t="s">
        <v>364</v>
      </c>
      <c r="G86" s="4" t="s">
        <v>53</v>
      </c>
      <c r="H86" s="7" t="s">
        <v>267</v>
      </c>
      <c r="I86" s="101" t="s">
        <v>266</v>
      </c>
      <c r="J86" s="8" t="s">
        <v>131</v>
      </c>
      <c r="K86" s="9">
        <f>81.35*2*6</f>
        <v>976.19999999999993</v>
      </c>
      <c r="L86" s="10">
        <v>1.26</v>
      </c>
      <c r="M86" s="11">
        <f t="shared" ref="M86:M87" si="39">L86*1.2685</f>
        <v>1.5983099999999999</v>
      </c>
      <c r="N86" s="13">
        <f t="shared" ref="N86:N87" si="40">M86*K86</f>
        <v>1560.2702219999999</v>
      </c>
      <c r="O86" s="12" t="s">
        <v>31</v>
      </c>
      <c r="P86" s="18" t="s">
        <v>39</v>
      </c>
    </row>
    <row r="87" spans="5:16" ht="45.75" x14ac:dyDescent="0.25">
      <c r="E87" s="2"/>
      <c r="F87" s="3" t="s">
        <v>365</v>
      </c>
      <c r="G87" s="4" t="s">
        <v>11</v>
      </c>
      <c r="H87" s="7" t="s">
        <v>163</v>
      </c>
      <c r="I87" s="101" t="s">
        <v>162</v>
      </c>
      <c r="J87" s="8" t="s">
        <v>147</v>
      </c>
      <c r="K87" s="9">
        <v>95.42</v>
      </c>
      <c r="L87" s="10">
        <v>207.14</v>
      </c>
      <c r="M87" s="11">
        <f t="shared" si="39"/>
        <v>262.75708999999995</v>
      </c>
      <c r="N87" s="13">
        <f t="shared" si="40"/>
        <v>25072.281527799994</v>
      </c>
      <c r="O87" s="12" t="s">
        <v>31</v>
      </c>
      <c r="P87" s="18" t="s">
        <v>39</v>
      </c>
    </row>
    <row r="88" spans="5:16" ht="23.25" x14ac:dyDescent="0.25">
      <c r="E88" s="2"/>
      <c r="F88" s="3" t="s">
        <v>366</v>
      </c>
      <c r="G88" s="4" t="s">
        <v>11</v>
      </c>
      <c r="H88" s="7" t="s">
        <v>502</v>
      </c>
      <c r="I88" s="101" t="s">
        <v>501</v>
      </c>
      <c r="J88" s="8" t="s">
        <v>5</v>
      </c>
      <c r="K88" s="9">
        <v>75</v>
      </c>
      <c r="L88" s="10">
        <v>7.76</v>
      </c>
      <c r="M88" s="11">
        <f t="shared" ref="M88" si="41">L88*1.2685</f>
        <v>9.8435600000000001</v>
      </c>
      <c r="N88" s="13">
        <f t="shared" ref="N88" si="42">M88*K88</f>
        <v>738.26700000000005</v>
      </c>
      <c r="O88" s="12" t="s">
        <v>31</v>
      </c>
      <c r="P88" s="18" t="s">
        <v>39</v>
      </c>
    </row>
    <row r="89" spans="5:16" x14ac:dyDescent="0.25">
      <c r="E89" s="2"/>
      <c r="F89" s="53"/>
      <c r="G89" s="54"/>
      <c r="H89" s="58"/>
      <c r="I89" s="59" t="s">
        <v>250</v>
      </c>
      <c r="J89" s="48"/>
      <c r="K89" s="49"/>
      <c r="L89" s="56"/>
      <c r="M89" s="51"/>
      <c r="N89" s="57">
        <f>SUM(N90:N95)</f>
        <v>33047.385963143999</v>
      </c>
      <c r="O89" s="12" t="s">
        <v>31</v>
      </c>
      <c r="P89" s="18" t="s">
        <v>39</v>
      </c>
    </row>
    <row r="90" spans="5:16" x14ac:dyDescent="0.25">
      <c r="E90" s="2"/>
      <c r="F90" s="3" t="s">
        <v>367</v>
      </c>
      <c r="G90" s="4"/>
      <c r="H90" s="7"/>
      <c r="I90" s="133" t="s">
        <v>205</v>
      </c>
      <c r="J90" s="134"/>
      <c r="K90" s="135"/>
      <c r="L90" s="10"/>
      <c r="M90" s="132"/>
      <c r="N90" s="136"/>
      <c r="O90" s="12" t="s">
        <v>31</v>
      </c>
      <c r="P90" s="18" t="s">
        <v>39</v>
      </c>
    </row>
    <row r="91" spans="5:16" ht="34.5" x14ac:dyDescent="0.25">
      <c r="E91" s="2"/>
      <c r="F91" s="3" t="s">
        <v>368</v>
      </c>
      <c r="G91" s="4" t="s">
        <v>11</v>
      </c>
      <c r="H91" s="7" t="s">
        <v>265</v>
      </c>
      <c r="I91" s="101" t="s">
        <v>264</v>
      </c>
      <c r="J91" s="8" t="s">
        <v>116</v>
      </c>
      <c r="K91" s="9">
        <f>190.47*0.01</f>
        <v>1.9047000000000001</v>
      </c>
      <c r="L91" s="10">
        <v>616.91999999999996</v>
      </c>
      <c r="M91" s="11">
        <f t="shared" ref="M91" si="43">L91*1.2685</f>
        <v>782.56301999999994</v>
      </c>
      <c r="N91" s="13">
        <f t="shared" ref="N91" si="44">M91*K91</f>
        <v>1490.5477841939999</v>
      </c>
      <c r="O91" s="12" t="s">
        <v>31</v>
      </c>
      <c r="P91" s="18" t="s">
        <v>39</v>
      </c>
    </row>
    <row r="92" spans="5:16" x14ac:dyDescent="0.25">
      <c r="E92" s="2"/>
      <c r="F92" s="3" t="s">
        <v>369</v>
      </c>
      <c r="G92" s="4" t="s">
        <v>11</v>
      </c>
      <c r="H92" s="7" t="s">
        <v>494</v>
      </c>
      <c r="I92" s="101" t="s">
        <v>493</v>
      </c>
      <c r="J92" s="8" t="s">
        <v>147</v>
      </c>
      <c r="K92" s="9">
        <v>190.47</v>
      </c>
      <c r="L92" s="10">
        <v>3.3</v>
      </c>
      <c r="M92" s="11">
        <f t="shared" ref="M92" si="45">L92*1.2685</f>
        <v>4.1860499999999998</v>
      </c>
      <c r="N92" s="13">
        <f t="shared" ref="N92" si="46">M92*K92</f>
        <v>797.31694349999998</v>
      </c>
      <c r="O92" s="12" t="s">
        <v>31</v>
      </c>
      <c r="P92" s="18" t="s">
        <v>39</v>
      </c>
    </row>
    <row r="93" spans="5:16" x14ac:dyDescent="0.25">
      <c r="E93" s="2"/>
      <c r="F93" s="3" t="s">
        <v>370</v>
      </c>
      <c r="G93" s="4"/>
      <c r="H93" s="7"/>
      <c r="I93" s="133" t="s">
        <v>222</v>
      </c>
      <c r="J93" s="134"/>
      <c r="K93" s="135"/>
      <c r="L93" s="10"/>
      <c r="M93" s="132"/>
      <c r="N93" s="136"/>
      <c r="O93" s="12" t="s">
        <v>31</v>
      </c>
      <c r="P93" s="18" t="s">
        <v>39</v>
      </c>
    </row>
    <row r="94" spans="5:16" x14ac:dyDescent="0.25">
      <c r="E94" s="2"/>
      <c r="F94" s="3" t="s">
        <v>371</v>
      </c>
      <c r="G94" s="4" t="s">
        <v>53</v>
      </c>
      <c r="H94" s="7" t="s">
        <v>267</v>
      </c>
      <c r="I94" s="101" t="s">
        <v>266</v>
      </c>
      <c r="J94" s="8" t="s">
        <v>131</v>
      </c>
      <c r="K94" s="9">
        <f>190.47*6</f>
        <v>1142.82</v>
      </c>
      <c r="L94" s="10">
        <v>1.26</v>
      </c>
      <c r="M94" s="11">
        <f t="shared" si="38"/>
        <v>1.5983099999999999</v>
      </c>
      <c r="N94" s="137">
        <f t="shared" ref="N94:N95" si="47">M94*K94</f>
        <v>1826.5806341999998</v>
      </c>
      <c r="O94" s="12" t="s">
        <v>31</v>
      </c>
      <c r="P94" s="18" t="s">
        <v>39</v>
      </c>
    </row>
    <row r="95" spans="5:16" ht="34.5" x14ac:dyDescent="0.25">
      <c r="E95" s="2"/>
      <c r="F95" s="3" t="s">
        <v>372</v>
      </c>
      <c r="G95" s="4" t="s">
        <v>11</v>
      </c>
      <c r="H95" s="7" t="s">
        <v>165</v>
      </c>
      <c r="I95" s="101" t="s">
        <v>164</v>
      </c>
      <c r="J95" s="8" t="s">
        <v>147</v>
      </c>
      <c r="K95" s="9">
        <f>70.11+73.65+25.24+21.47</f>
        <v>190.47</v>
      </c>
      <c r="L95" s="10">
        <v>119.75</v>
      </c>
      <c r="M95" s="11">
        <f t="shared" si="38"/>
        <v>151.90287499999999</v>
      </c>
      <c r="N95" s="13">
        <f t="shared" si="47"/>
        <v>28932.94060125</v>
      </c>
      <c r="O95" s="12" t="s">
        <v>31</v>
      </c>
      <c r="P95" s="18" t="s">
        <v>39</v>
      </c>
    </row>
    <row r="96" spans="5:16" x14ac:dyDescent="0.25">
      <c r="E96" s="2"/>
      <c r="F96" s="53"/>
      <c r="G96" s="54"/>
      <c r="H96" s="58"/>
      <c r="I96" s="59" t="s">
        <v>269</v>
      </c>
      <c r="J96" s="48"/>
      <c r="K96" s="49"/>
      <c r="L96" s="56"/>
      <c r="M96" s="51"/>
      <c r="N96" s="57">
        <f>SUM(N97:N98)</f>
        <v>2022.3340243890002</v>
      </c>
      <c r="O96" s="12" t="s">
        <v>31</v>
      </c>
      <c r="P96" s="18" t="s">
        <v>39</v>
      </c>
    </row>
    <row r="97" spans="5:16" ht="34.5" x14ac:dyDescent="0.25">
      <c r="E97" s="2"/>
      <c r="F97" s="3" t="s">
        <v>373</v>
      </c>
      <c r="G97" s="4" t="s">
        <v>11</v>
      </c>
      <c r="H97" s="5" t="s">
        <v>159</v>
      </c>
      <c r="I97" s="101" t="s">
        <v>158</v>
      </c>
      <c r="J97" s="8" t="s">
        <v>116</v>
      </c>
      <c r="K97" s="9">
        <f>190.47*0.005</f>
        <v>0.95235000000000003</v>
      </c>
      <c r="L97" s="10">
        <v>564.64</v>
      </c>
      <c r="M97" s="11">
        <f t="shared" ref="M97:M98" si="48">L97*1.2685</f>
        <v>716.24583999999993</v>
      </c>
      <c r="N97" s="13">
        <f>M97*K97</f>
        <v>682.11672572399993</v>
      </c>
      <c r="O97" s="12" t="s">
        <v>31</v>
      </c>
      <c r="P97" s="18" t="s">
        <v>39</v>
      </c>
    </row>
    <row r="98" spans="5:16" ht="45.75" x14ac:dyDescent="0.25">
      <c r="E98" s="2"/>
      <c r="F98" s="3" t="s">
        <v>374</v>
      </c>
      <c r="G98" s="4" t="s">
        <v>11</v>
      </c>
      <c r="H98" s="5" t="s">
        <v>160</v>
      </c>
      <c r="I98" s="101" t="s">
        <v>161</v>
      </c>
      <c r="J98" s="8" t="s">
        <v>116</v>
      </c>
      <c r="K98" s="9">
        <f>190.47*0.01</f>
        <v>1.9047000000000001</v>
      </c>
      <c r="L98" s="10">
        <v>554.70000000000005</v>
      </c>
      <c r="M98" s="11">
        <f t="shared" si="48"/>
        <v>703.63695000000007</v>
      </c>
      <c r="N98" s="13">
        <f>M98*K98</f>
        <v>1340.2172986650003</v>
      </c>
      <c r="O98" s="12" t="s">
        <v>31</v>
      </c>
      <c r="P98" s="18" t="s">
        <v>39</v>
      </c>
    </row>
    <row r="99" spans="5:16" x14ac:dyDescent="0.25">
      <c r="E99" s="2" t="s">
        <v>6</v>
      </c>
      <c r="F99" s="53" t="s">
        <v>55</v>
      </c>
      <c r="G99" s="54"/>
      <c r="H99" s="58"/>
      <c r="I99" s="59" t="s">
        <v>184</v>
      </c>
      <c r="J99" s="48" t="s">
        <v>25</v>
      </c>
      <c r="K99" s="49">
        <v>0</v>
      </c>
      <c r="L99" s="56"/>
      <c r="M99" s="51">
        <v>0</v>
      </c>
      <c r="N99" s="57">
        <f>SUM(N100:N108)</f>
        <v>18413.798315305401</v>
      </c>
      <c r="O99" s="12" t="s">
        <v>31</v>
      </c>
      <c r="P99" s="18" t="s">
        <v>39</v>
      </c>
    </row>
    <row r="100" spans="5:16" x14ac:dyDescent="0.25">
      <c r="E100" s="2"/>
      <c r="F100" s="142" t="s">
        <v>375</v>
      </c>
      <c r="G100" s="4"/>
      <c r="H100" s="7"/>
      <c r="I100" s="138" t="s">
        <v>249</v>
      </c>
      <c r="J100" s="134"/>
      <c r="K100" s="135"/>
      <c r="L100" s="10"/>
      <c r="M100" s="132"/>
      <c r="N100" s="136"/>
      <c r="O100" s="12" t="s">
        <v>31</v>
      </c>
      <c r="P100" s="18" t="s">
        <v>39</v>
      </c>
    </row>
    <row r="101" spans="5:16" x14ac:dyDescent="0.25">
      <c r="E101" s="2"/>
      <c r="F101" s="142" t="s">
        <v>376</v>
      </c>
      <c r="G101" s="4" t="s">
        <v>53</v>
      </c>
      <c r="H101" s="7" t="s">
        <v>180</v>
      </c>
      <c r="I101" s="101" t="s">
        <v>179</v>
      </c>
      <c r="J101" s="8" t="s">
        <v>131</v>
      </c>
      <c r="K101" s="9">
        <f>0.333*415</f>
        <v>138.19500000000002</v>
      </c>
      <c r="L101" s="10">
        <v>4.84</v>
      </c>
      <c r="M101" s="11">
        <f t="shared" ref="M101:M104" si="49">L101*1.2685</f>
        <v>6.1395399999999993</v>
      </c>
      <c r="N101" s="13">
        <f t="shared" ref="N101:N104" si="50">M101*K101</f>
        <v>848.45373030000007</v>
      </c>
      <c r="O101" s="12" t="s">
        <v>31</v>
      </c>
      <c r="P101" s="18" t="s">
        <v>39</v>
      </c>
    </row>
    <row r="102" spans="5:16" ht="23.25" x14ac:dyDescent="0.25">
      <c r="E102" s="2"/>
      <c r="F102" s="142" t="s">
        <v>377</v>
      </c>
      <c r="G102" s="4" t="s">
        <v>11</v>
      </c>
      <c r="H102" s="7" t="s">
        <v>176</v>
      </c>
      <c r="I102" s="101" t="s">
        <v>175</v>
      </c>
      <c r="J102" s="8" t="s">
        <v>147</v>
      </c>
      <c r="K102" s="9">
        <f>74.25*3</f>
        <v>222.75</v>
      </c>
      <c r="L102" s="10">
        <v>14.22</v>
      </c>
      <c r="M102" s="11">
        <f t="shared" si="49"/>
        <v>18.038070000000001</v>
      </c>
      <c r="N102" s="13">
        <f t="shared" si="50"/>
        <v>4017.9800925000004</v>
      </c>
      <c r="O102" s="12" t="s">
        <v>31</v>
      </c>
      <c r="P102" s="18" t="s">
        <v>39</v>
      </c>
    </row>
    <row r="103" spans="5:16" ht="23.25" x14ac:dyDescent="0.25">
      <c r="E103" s="2"/>
      <c r="F103" s="142" t="s">
        <v>378</v>
      </c>
      <c r="G103" s="4" t="s">
        <v>11</v>
      </c>
      <c r="H103" s="7" t="s">
        <v>178</v>
      </c>
      <c r="I103" s="101" t="s">
        <v>177</v>
      </c>
      <c r="J103" s="8" t="s">
        <v>147</v>
      </c>
      <c r="K103" s="9">
        <f>(74.25*3)+(81.35*4)</f>
        <v>548.15</v>
      </c>
      <c r="L103" s="10">
        <v>2.8</v>
      </c>
      <c r="M103" s="11">
        <f t="shared" si="49"/>
        <v>3.5517999999999996</v>
      </c>
      <c r="N103" s="13">
        <f>M103*K103</f>
        <v>1946.9191699999997</v>
      </c>
      <c r="O103" s="12" t="s">
        <v>31</v>
      </c>
      <c r="P103" s="18" t="s">
        <v>39</v>
      </c>
    </row>
    <row r="104" spans="5:16" ht="34.5" x14ac:dyDescent="0.25">
      <c r="E104" s="2"/>
      <c r="F104" s="142" t="s">
        <v>379</v>
      </c>
      <c r="G104" s="4" t="s">
        <v>11</v>
      </c>
      <c r="H104" s="7" t="s">
        <v>522</v>
      </c>
      <c r="I104" s="101" t="s">
        <v>521</v>
      </c>
      <c r="J104" s="8" t="s">
        <v>147</v>
      </c>
      <c r="K104" s="9">
        <f>81.35*4</f>
        <v>325.39999999999998</v>
      </c>
      <c r="L104" s="10">
        <v>15.84</v>
      </c>
      <c r="M104" s="11">
        <f t="shared" si="49"/>
        <v>20.093039999999998</v>
      </c>
      <c r="N104" s="13">
        <f t="shared" si="50"/>
        <v>6538.2752159999991</v>
      </c>
      <c r="O104" s="12" t="s">
        <v>31</v>
      </c>
      <c r="P104" s="18" t="s">
        <v>39</v>
      </c>
    </row>
    <row r="105" spans="5:16" x14ac:dyDescent="0.25">
      <c r="E105" s="2"/>
      <c r="F105" s="142" t="s">
        <v>380</v>
      </c>
      <c r="G105" s="4"/>
      <c r="H105" s="7"/>
      <c r="I105" s="138" t="s">
        <v>269</v>
      </c>
      <c r="J105" s="134"/>
      <c r="K105" s="135"/>
      <c r="L105" s="10"/>
      <c r="M105" s="132"/>
      <c r="N105" s="136"/>
      <c r="O105" s="12" t="s">
        <v>31</v>
      </c>
      <c r="P105" s="18" t="s">
        <v>39</v>
      </c>
    </row>
    <row r="106" spans="5:16" ht="23.25" x14ac:dyDescent="0.25">
      <c r="E106" s="2"/>
      <c r="F106" s="142" t="s">
        <v>381</v>
      </c>
      <c r="G106" s="4" t="s">
        <v>11</v>
      </c>
      <c r="H106" s="7" t="s">
        <v>496</v>
      </c>
      <c r="I106" s="101" t="s">
        <v>495</v>
      </c>
      <c r="J106" s="8" t="s">
        <v>147</v>
      </c>
      <c r="K106" s="9">
        <f>190.47</f>
        <v>190.47</v>
      </c>
      <c r="L106" s="10">
        <v>3.21</v>
      </c>
      <c r="M106" s="11">
        <f t="shared" ref="M106" si="51">L106*1.2685</f>
        <v>4.071885</v>
      </c>
      <c r="N106" s="13">
        <f t="shared" ref="N106" si="52">M106*K106</f>
        <v>775.57193595000001</v>
      </c>
      <c r="O106" s="12" t="s">
        <v>31</v>
      </c>
      <c r="P106" s="18" t="s">
        <v>39</v>
      </c>
    </row>
    <row r="107" spans="5:16" ht="23.25" x14ac:dyDescent="0.25">
      <c r="E107" s="2"/>
      <c r="F107" s="142" t="s">
        <v>382</v>
      </c>
      <c r="G107" s="4" t="s">
        <v>11</v>
      </c>
      <c r="H107" s="7" t="s">
        <v>226</v>
      </c>
      <c r="I107" s="101" t="s">
        <v>225</v>
      </c>
      <c r="J107" s="8" t="s">
        <v>147</v>
      </c>
      <c r="K107" s="9">
        <v>190.47</v>
      </c>
      <c r="L107" s="10">
        <v>16.13</v>
      </c>
      <c r="M107" s="11">
        <f t="shared" ref="M107:M108" si="53">L107*1.2685</f>
        <v>20.460904999999997</v>
      </c>
      <c r="N107" s="13">
        <f t="shared" ref="N107:N108" si="54">M107*K107</f>
        <v>3897.1885753499992</v>
      </c>
      <c r="O107" s="12" t="s">
        <v>31</v>
      </c>
      <c r="P107" s="18" t="s">
        <v>39</v>
      </c>
    </row>
    <row r="108" spans="5:16" x14ac:dyDescent="0.25">
      <c r="E108" s="2"/>
      <c r="F108" s="142" t="s">
        <v>383</v>
      </c>
      <c r="G108" s="4" t="s">
        <v>53</v>
      </c>
      <c r="H108" s="7" t="s">
        <v>180</v>
      </c>
      <c r="I108" s="101" t="s">
        <v>179</v>
      </c>
      <c r="J108" s="8" t="s">
        <v>131</v>
      </c>
      <c r="K108" s="9">
        <f>0.333*(K107)</f>
        <v>63.42651</v>
      </c>
      <c r="L108" s="10">
        <v>4.84</v>
      </c>
      <c r="M108" s="11">
        <f t="shared" si="53"/>
        <v>6.1395399999999993</v>
      </c>
      <c r="N108" s="13">
        <f t="shared" si="54"/>
        <v>389.40959520539997</v>
      </c>
      <c r="O108" s="12" t="s">
        <v>31</v>
      </c>
      <c r="P108" s="18" t="s">
        <v>39</v>
      </c>
    </row>
    <row r="109" spans="5:16" x14ac:dyDescent="0.25">
      <c r="E109" s="2" t="s">
        <v>6</v>
      </c>
      <c r="F109" s="53" t="s">
        <v>84</v>
      </c>
      <c r="G109" s="54"/>
      <c r="H109" s="58"/>
      <c r="I109" s="59" t="s">
        <v>208</v>
      </c>
      <c r="J109" s="48" t="s">
        <v>25</v>
      </c>
      <c r="K109" s="49">
        <v>0</v>
      </c>
      <c r="L109" s="56"/>
      <c r="M109" s="51">
        <v>0</v>
      </c>
      <c r="N109" s="57">
        <f>SUM(N110:N114)</f>
        <v>18128.087833999998</v>
      </c>
      <c r="O109" s="12" t="s">
        <v>31</v>
      </c>
      <c r="P109" s="18" t="s">
        <v>39</v>
      </c>
    </row>
    <row r="110" spans="5:16" ht="57" x14ac:dyDescent="0.25">
      <c r="E110" s="2"/>
      <c r="F110" s="3" t="s">
        <v>384</v>
      </c>
      <c r="G110" s="4" t="s">
        <v>11</v>
      </c>
      <c r="H110" s="7" t="s">
        <v>277</v>
      </c>
      <c r="I110" s="101" t="s">
        <v>276</v>
      </c>
      <c r="J110" s="8" t="s">
        <v>209</v>
      </c>
      <c r="K110" s="9">
        <v>4</v>
      </c>
      <c r="L110" s="10">
        <v>894.66</v>
      </c>
      <c r="M110" s="11">
        <f t="shared" ref="M110:M114" si="55">L110*1.2685</f>
        <v>1134.8762099999999</v>
      </c>
      <c r="N110" s="13">
        <f t="shared" ref="N110:N123" si="56">M110*K110</f>
        <v>4539.5048399999996</v>
      </c>
      <c r="O110" s="12" t="s">
        <v>31</v>
      </c>
      <c r="P110" s="18" t="s">
        <v>39</v>
      </c>
    </row>
    <row r="111" spans="5:16" ht="23.25" x14ac:dyDescent="0.25">
      <c r="E111" s="2"/>
      <c r="F111" s="3"/>
      <c r="G111" s="4" t="s">
        <v>11</v>
      </c>
      <c r="H111" s="7" t="s">
        <v>305</v>
      </c>
      <c r="I111" s="101" t="s">
        <v>304</v>
      </c>
      <c r="J111" s="8" t="s">
        <v>209</v>
      </c>
      <c r="K111" s="9">
        <v>4</v>
      </c>
      <c r="L111" s="10">
        <v>307.38</v>
      </c>
      <c r="M111" s="11">
        <f t="shared" si="55"/>
        <v>389.91152999999997</v>
      </c>
      <c r="N111" s="13">
        <f t="shared" si="56"/>
        <v>1559.6461199999999</v>
      </c>
      <c r="O111" s="12"/>
      <c r="P111" s="18"/>
    </row>
    <row r="112" spans="5:16" ht="23.25" x14ac:dyDescent="0.25">
      <c r="E112" s="2"/>
      <c r="F112" s="3"/>
      <c r="G112" s="4" t="s">
        <v>53</v>
      </c>
      <c r="H112" s="7" t="s">
        <v>500</v>
      </c>
      <c r="I112" s="101" t="s">
        <v>499</v>
      </c>
      <c r="J112" s="8" t="s">
        <v>131</v>
      </c>
      <c r="K112" s="9">
        <v>10</v>
      </c>
      <c r="L112" s="10">
        <v>14.45</v>
      </c>
      <c r="M112" s="11">
        <f t="shared" ref="M112" si="57">L112*1.2685</f>
        <v>18.329825</v>
      </c>
      <c r="N112" s="13">
        <f t="shared" ref="N112" si="58">M112*K112</f>
        <v>183.29825</v>
      </c>
      <c r="O112" s="12"/>
      <c r="P112" s="18"/>
    </row>
    <row r="113" spans="5:16" ht="34.5" x14ac:dyDescent="0.25">
      <c r="E113" s="2"/>
      <c r="F113" s="3" t="s">
        <v>385</v>
      </c>
      <c r="G113" s="4" t="s">
        <v>11</v>
      </c>
      <c r="H113" s="7" t="s">
        <v>279</v>
      </c>
      <c r="I113" s="101" t="s">
        <v>278</v>
      </c>
      <c r="J113" s="8" t="s">
        <v>147</v>
      </c>
      <c r="K113" s="9">
        <f>4.8+9</f>
        <v>13.8</v>
      </c>
      <c r="L113" s="10">
        <v>658.88</v>
      </c>
      <c r="M113" s="11">
        <f t="shared" si="55"/>
        <v>835.78927999999996</v>
      </c>
      <c r="N113" s="13">
        <f t="shared" si="56"/>
        <v>11533.892064</v>
      </c>
      <c r="O113" s="12" t="s">
        <v>31</v>
      </c>
      <c r="P113" s="18" t="s">
        <v>39</v>
      </c>
    </row>
    <row r="114" spans="5:16" ht="23.25" x14ac:dyDescent="0.25">
      <c r="E114" s="2"/>
      <c r="F114" s="3" t="s">
        <v>386</v>
      </c>
      <c r="G114" s="4" t="s">
        <v>11</v>
      </c>
      <c r="H114" s="7" t="s">
        <v>281</v>
      </c>
      <c r="I114" s="101" t="s">
        <v>280</v>
      </c>
      <c r="J114" s="8" t="s">
        <v>5</v>
      </c>
      <c r="K114" s="9">
        <v>12</v>
      </c>
      <c r="L114" s="10">
        <v>20.48</v>
      </c>
      <c r="M114" s="11">
        <f t="shared" si="55"/>
        <v>25.97888</v>
      </c>
      <c r="N114" s="13">
        <f t="shared" si="56"/>
        <v>311.74655999999999</v>
      </c>
      <c r="O114" s="12" t="s">
        <v>31</v>
      </c>
      <c r="P114" s="18" t="s">
        <v>39</v>
      </c>
    </row>
    <row r="115" spans="5:16" x14ac:dyDescent="0.25">
      <c r="E115" s="2" t="s">
        <v>6</v>
      </c>
      <c r="F115" s="53" t="s">
        <v>99</v>
      </c>
      <c r="G115" s="54"/>
      <c r="H115" s="58"/>
      <c r="I115" s="59" t="s">
        <v>148</v>
      </c>
      <c r="J115" s="48" t="s">
        <v>25</v>
      </c>
      <c r="K115" s="49"/>
      <c r="L115" s="56"/>
      <c r="M115" s="51"/>
      <c r="N115" s="57">
        <f>SUM(N116:N121)</f>
        <v>53810.013425149999</v>
      </c>
      <c r="O115" s="12" t="s">
        <v>31</v>
      </c>
      <c r="P115" s="18" t="s">
        <v>39</v>
      </c>
    </row>
    <row r="116" spans="5:16" ht="45.75" x14ac:dyDescent="0.25">
      <c r="E116" s="2" t="s">
        <v>8</v>
      </c>
      <c r="F116" s="3" t="s">
        <v>387</v>
      </c>
      <c r="G116" s="4" t="s">
        <v>11</v>
      </c>
      <c r="H116" s="5" t="s">
        <v>149</v>
      </c>
      <c r="I116" s="101" t="s">
        <v>150</v>
      </c>
      <c r="J116" s="8" t="s">
        <v>147</v>
      </c>
      <c r="K116" s="9">
        <v>190.67</v>
      </c>
      <c r="L116" s="10">
        <v>101.29</v>
      </c>
      <c r="M116" s="11">
        <f>L116*1.2685</f>
        <v>128.48636500000001</v>
      </c>
      <c r="N116" s="13">
        <f>M116*K116</f>
        <v>24498.495214549999</v>
      </c>
      <c r="O116" s="12" t="s">
        <v>31</v>
      </c>
      <c r="P116" s="18" t="s">
        <v>39</v>
      </c>
    </row>
    <row r="117" spans="5:16" ht="45.75" x14ac:dyDescent="0.25">
      <c r="E117" s="2"/>
      <c r="F117" s="3" t="s">
        <v>388</v>
      </c>
      <c r="G117" s="4" t="s">
        <v>11</v>
      </c>
      <c r="H117" s="5" t="s">
        <v>234</v>
      </c>
      <c r="I117" s="101" t="s">
        <v>233</v>
      </c>
      <c r="J117" s="8" t="s">
        <v>147</v>
      </c>
      <c r="K117" s="9">
        <v>190.67</v>
      </c>
      <c r="L117" s="10">
        <v>40.01</v>
      </c>
      <c r="M117" s="11">
        <f>L117*1.2685</f>
        <v>50.752684999999992</v>
      </c>
      <c r="N117" s="13">
        <f>M117*K117</f>
        <v>9677.014448949998</v>
      </c>
      <c r="O117" s="12" t="s">
        <v>31</v>
      </c>
      <c r="P117" s="18" t="s">
        <v>39</v>
      </c>
    </row>
    <row r="118" spans="5:16" ht="34.5" x14ac:dyDescent="0.25">
      <c r="E118" s="2" t="s">
        <v>8</v>
      </c>
      <c r="F118" s="3" t="s">
        <v>389</v>
      </c>
      <c r="G118" s="4" t="s">
        <v>11</v>
      </c>
      <c r="H118" s="5" t="s">
        <v>151</v>
      </c>
      <c r="I118" s="101" t="s">
        <v>152</v>
      </c>
      <c r="J118" s="8" t="s">
        <v>147</v>
      </c>
      <c r="K118" s="9">
        <f>190.67+20.74</f>
        <v>211.41</v>
      </c>
      <c r="L118" s="10">
        <v>38.03</v>
      </c>
      <c r="M118" s="11">
        <f t="shared" ref="M118:M121" si="59">L118*1.2685</f>
        <v>48.241055000000003</v>
      </c>
      <c r="N118" s="13">
        <f t="shared" ref="N118:N121" si="60">M118*K118</f>
        <v>10198.641437550001</v>
      </c>
      <c r="O118" s="12" t="s">
        <v>31</v>
      </c>
      <c r="P118" s="18" t="s">
        <v>39</v>
      </c>
    </row>
    <row r="119" spans="5:16" ht="45.75" x14ac:dyDescent="0.25">
      <c r="E119" s="2" t="s">
        <v>8</v>
      </c>
      <c r="F119" s="3" t="s">
        <v>390</v>
      </c>
      <c r="G119" s="4" t="s">
        <v>11</v>
      </c>
      <c r="H119" s="5" t="s">
        <v>153</v>
      </c>
      <c r="I119" s="101" t="s">
        <v>154</v>
      </c>
      <c r="J119" s="8" t="s">
        <v>5</v>
      </c>
      <c r="K119" s="9">
        <v>52.97</v>
      </c>
      <c r="L119" s="10">
        <v>29.8</v>
      </c>
      <c r="M119" s="11">
        <f t="shared" si="59"/>
        <v>37.801299999999998</v>
      </c>
      <c r="N119" s="13">
        <f t="shared" si="60"/>
        <v>2002.3348609999998</v>
      </c>
      <c r="O119" s="12" t="s">
        <v>31</v>
      </c>
      <c r="P119" s="18" t="s">
        <v>39</v>
      </c>
    </row>
    <row r="120" spans="5:16" ht="34.5" x14ac:dyDescent="0.25">
      <c r="E120" s="2" t="s">
        <v>8</v>
      </c>
      <c r="F120" s="3" t="s">
        <v>391</v>
      </c>
      <c r="G120" s="4" t="s">
        <v>11</v>
      </c>
      <c r="H120" s="7" t="s">
        <v>156</v>
      </c>
      <c r="I120" s="101" t="s">
        <v>155</v>
      </c>
      <c r="J120" s="8" t="s">
        <v>5</v>
      </c>
      <c r="K120" s="9">
        <v>70.69</v>
      </c>
      <c r="L120" s="10">
        <v>79.319999999999993</v>
      </c>
      <c r="M120" s="11">
        <f t="shared" si="59"/>
        <v>100.61741999999998</v>
      </c>
      <c r="N120" s="13">
        <f t="shared" si="60"/>
        <v>7112.6454197999983</v>
      </c>
      <c r="O120" s="12" t="s">
        <v>31</v>
      </c>
      <c r="P120" s="18" t="s">
        <v>39</v>
      </c>
    </row>
    <row r="121" spans="5:16" ht="23.25" x14ac:dyDescent="0.25">
      <c r="E121" s="2"/>
      <c r="F121" s="3" t="s">
        <v>392</v>
      </c>
      <c r="G121" s="4" t="s">
        <v>53</v>
      </c>
      <c r="H121" s="7" t="s">
        <v>232</v>
      </c>
      <c r="I121" s="101" t="s">
        <v>231</v>
      </c>
      <c r="J121" s="8" t="s">
        <v>5</v>
      </c>
      <c r="K121" s="9">
        <v>5.33</v>
      </c>
      <c r="L121" s="10">
        <v>47.46</v>
      </c>
      <c r="M121" s="11">
        <f t="shared" si="59"/>
        <v>60.203009999999999</v>
      </c>
      <c r="N121" s="13">
        <f t="shared" si="60"/>
        <v>320.88204330000002</v>
      </c>
      <c r="O121" s="12" t="s">
        <v>31</v>
      </c>
      <c r="P121" s="18" t="s">
        <v>39</v>
      </c>
    </row>
    <row r="122" spans="5:16" x14ac:dyDescent="0.25">
      <c r="E122" s="2"/>
      <c r="F122" s="53" t="s">
        <v>100</v>
      </c>
      <c r="G122" s="54"/>
      <c r="H122" s="58"/>
      <c r="I122" s="128" t="s">
        <v>190</v>
      </c>
      <c r="J122" s="48"/>
      <c r="K122" s="49"/>
      <c r="L122" s="56"/>
      <c r="M122" s="51"/>
      <c r="N122" s="57">
        <f>SUM(N123)</f>
        <v>652.35022649999996</v>
      </c>
      <c r="O122" s="12" t="s">
        <v>31</v>
      </c>
      <c r="P122" s="18" t="s">
        <v>39</v>
      </c>
    </row>
    <row r="123" spans="5:16" x14ac:dyDescent="0.25">
      <c r="E123" s="2" t="s">
        <v>8</v>
      </c>
      <c r="F123" s="3" t="s">
        <v>393</v>
      </c>
      <c r="G123" s="4" t="s">
        <v>191</v>
      </c>
      <c r="H123" s="5" t="s">
        <v>505</v>
      </c>
      <c r="I123" s="129" t="s">
        <v>192</v>
      </c>
      <c r="J123" s="8" t="s">
        <v>147</v>
      </c>
      <c r="K123" s="9">
        <v>190.47</v>
      </c>
      <c r="L123" s="10">
        <v>2.7</v>
      </c>
      <c r="M123" s="11">
        <f>L123*1.2685</f>
        <v>3.4249499999999999</v>
      </c>
      <c r="N123" s="13">
        <f t="shared" si="56"/>
        <v>652.35022649999996</v>
      </c>
      <c r="O123" s="12" t="s">
        <v>31</v>
      </c>
      <c r="P123" s="18" t="s">
        <v>39</v>
      </c>
    </row>
    <row r="124" spans="5:16" x14ac:dyDescent="0.25">
      <c r="E124" s="2" t="s">
        <v>6</v>
      </c>
      <c r="F124" s="53">
        <v>2</v>
      </c>
      <c r="G124" s="54"/>
      <c r="H124" s="58"/>
      <c r="I124" s="59" t="s">
        <v>166</v>
      </c>
      <c r="J124" s="48" t="s">
        <v>25</v>
      </c>
      <c r="K124" s="49">
        <v>0</v>
      </c>
      <c r="L124" s="56"/>
      <c r="M124" s="51">
        <v>0</v>
      </c>
      <c r="N124" s="57">
        <f>SUM(N125+N136+N142+N173+N180+N189+N205+N223+N233+N239+N245)</f>
        <v>324198.56201443978</v>
      </c>
      <c r="O124" s="12" t="s">
        <v>31</v>
      </c>
      <c r="P124" s="18" t="s">
        <v>39</v>
      </c>
    </row>
    <row r="125" spans="5:16" x14ac:dyDescent="0.25">
      <c r="E125" s="2"/>
      <c r="F125" s="53" t="s">
        <v>93</v>
      </c>
      <c r="G125" s="54"/>
      <c r="H125" s="58"/>
      <c r="I125" s="128" t="s">
        <v>110</v>
      </c>
      <c r="J125" s="48"/>
      <c r="K125" s="49"/>
      <c r="L125" s="56"/>
      <c r="M125" s="51"/>
      <c r="N125" s="57">
        <f>SUM(N126:N135)</f>
        <v>8112.1310079893747</v>
      </c>
      <c r="O125" s="12" t="s">
        <v>31</v>
      </c>
      <c r="P125" s="18" t="s">
        <v>39</v>
      </c>
    </row>
    <row r="126" spans="5:16" ht="23.25" x14ac:dyDescent="0.25">
      <c r="E126" s="2"/>
      <c r="F126" s="3" t="s">
        <v>394</v>
      </c>
      <c r="G126" s="4" t="s">
        <v>11</v>
      </c>
      <c r="H126" s="5" t="s">
        <v>168</v>
      </c>
      <c r="I126" s="101" t="s">
        <v>167</v>
      </c>
      <c r="J126" s="8" t="s">
        <v>116</v>
      </c>
      <c r="K126" s="9">
        <f>16.42+ (19.45*0.45*0.15)</f>
        <v>17.732875</v>
      </c>
      <c r="L126" s="10">
        <v>51.69</v>
      </c>
      <c r="M126" s="11">
        <f>L126*1.2685</f>
        <v>65.568764999999999</v>
      </c>
      <c r="N126" s="13">
        <f>M126*K126</f>
        <v>1162.722713649375</v>
      </c>
      <c r="O126" s="12" t="s">
        <v>31</v>
      </c>
      <c r="P126" s="18" t="s">
        <v>39</v>
      </c>
    </row>
    <row r="127" spans="5:16" ht="34.5" x14ac:dyDescent="0.25">
      <c r="E127" s="2"/>
      <c r="F127" s="3" t="s">
        <v>395</v>
      </c>
      <c r="G127" s="4" t="s">
        <v>11</v>
      </c>
      <c r="H127" s="5" t="s">
        <v>170</v>
      </c>
      <c r="I127" s="101" t="s">
        <v>169</v>
      </c>
      <c r="J127" s="8" t="s">
        <v>147</v>
      </c>
      <c r="K127" s="9">
        <f>(24.35*1*5)+28.36</f>
        <v>150.11000000000001</v>
      </c>
      <c r="L127" s="10">
        <v>4.03</v>
      </c>
      <c r="M127" s="11">
        <f t="shared" ref="M127:M179" si="61">L127*1.2685</f>
        <v>5.1120549999999998</v>
      </c>
      <c r="N127" s="13">
        <f t="shared" ref="N127:N179" si="62">M127*K127</f>
        <v>767.37057605000007</v>
      </c>
      <c r="O127" s="12" t="s">
        <v>31</v>
      </c>
      <c r="P127" s="18" t="s">
        <v>39</v>
      </c>
    </row>
    <row r="128" spans="5:16" ht="23.25" x14ac:dyDescent="0.25">
      <c r="E128" s="2"/>
      <c r="F128" s="3" t="s">
        <v>396</v>
      </c>
      <c r="G128" s="4" t="s">
        <v>11</v>
      </c>
      <c r="H128" s="5" t="s">
        <v>172</v>
      </c>
      <c r="I128" s="101" t="s">
        <v>171</v>
      </c>
      <c r="J128" s="8" t="s">
        <v>147</v>
      </c>
      <c r="K128" s="9">
        <f>1.68*2</f>
        <v>3.36</v>
      </c>
      <c r="L128" s="10">
        <v>8.44</v>
      </c>
      <c r="M128" s="11">
        <f t="shared" si="61"/>
        <v>10.70614</v>
      </c>
      <c r="N128" s="13">
        <f t="shared" si="62"/>
        <v>35.9726304</v>
      </c>
      <c r="O128" s="12" t="s">
        <v>31</v>
      </c>
      <c r="P128" s="18" t="s">
        <v>39</v>
      </c>
    </row>
    <row r="129" spans="5:16" ht="23.25" x14ac:dyDescent="0.25">
      <c r="E129" s="2"/>
      <c r="F129" s="3" t="s">
        <v>397</v>
      </c>
      <c r="G129" s="4" t="s">
        <v>11</v>
      </c>
      <c r="H129" s="5" t="s">
        <v>174</v>
      </c>
      <c r="I129" s="101" t="s">
        <v>173</v>
      </c>
      <c r="J129" s="8" t="s">
        <v>147</v>
      </c>
      <c r="K129" s="9">
        <v>2.2200000000000002</v>
      </c>
      <c r="L129" s="10">
        <v>32.31</v>
      </c>
      <c r="M129" s="11">
        <f t="shared" si="61"/>
        <v>40.985235000000003</v>
      </c>
      <c r="N129" s="13">
        <f t="shared" si="62"/>
        <v>90.987221700000021</v>
      </c>
      <c r="O129" s="12" t="s">
        <v>31</v>
      </c>
      <c r="P129" s="18" t="s">
        <v>39</v>
      </c>
    </row>
    <row r="130" spans="5:16" ht="23.25" x14ac:dyDescent="0.25">
      <c r="E130" s="2"/>
      <c r="F130" s="3" t="s">
        <v>398</v>
      </c>
      <c r="G130" s="4" t="s">
        <v>11</v>
      </c>
      <c r="H130" s="5" t="s">
        <v>211</v>
      </c>
      <c r="I130" s="101" t="s">
        <v>210</v>
      </c>
      <c r="J130" s="8" t="s">
        <v>116</v>
      </c>
      <c r="K130" s="9">
        <f>6*(0.15*0.4*3)</f>
        <v>1.08</v>
      </c>
      <c r="L130" s="10">
        <v>558.74</v>
      </c>
      <c r="M130" s="11">
        <f t="shared" si="61"/>
        <v>708.76169000000004</v>
      </c>
      <c r="N130" s="13">
        <f t="shared" si="62"/>
        <v>765.46262520000005</v>
      </c>
      <c r="O130" s="12" t="s">
        <v>31</v>
      </c>
      <c r="P130" s="18" t="s">
        <v>39</v>
      </c>
    </row>
    <row r="131" spans="5:16" x14ac:dyDescent="0.25">
      <c r="E131" s="2"/>
      <c r="F131" s="3" t="s">
        <v>399</v>
      </c>
      <c r="G131" s="4" t="s">
        <v>191</v>
      </c>
      <c r="H131" s="5" t="s">
        <v>213</v>
      </c>
      <c r="I131" s="101" t="s">
        <v>212</v>
      </c>
      <c r="J131" s="8" t="s">
        <v>147</v>
      </c>
      <c r="K131" s="9">
        <f>112.25+34.35+77.19</f>
        <v>223.79</v>
      </c>
      <c r="L131" s="10">
        <v>9.4600000000000009</v>
      </c>
      <c r="M131" s="11">
        <f t="shared" si="61"/>
        <v>12.000010000000001</v>
      </c>
      <c r="N131" s="13">
        <f t="shared" si="62"/>
        <v>2685.4822379000002</v>
      </c>
      <c r="O131" s="12" t="s">
        <v>31</v>
      </c>
      <c r="P131" s="18" t="s">
        <v>39</v>
      </c>
    </row>
    <row r="132" spans="5:16" ht="23.25" x14ac:dyDescent="0.25">
      <c r="E132" s="2"/>
      <c r="F132" s="3" t="s">
        <v>400</v>
      </c>
      <c r="G132" s="4" t="s">
        <v>11</v>
      </c>
      <c r="H132" s="5" t="s">
        <v>204</v>
      </c>
      <c r="I132" s="101" t="s">
        <v>203</v>
      </c>
      <c r="J132" s="8" t="s">
        <v>116</v>
      </c>
      <c r="K132" s="9">
        <f>7.08*0.1</f>
        <v>0.70800000000000007</v>
      </c>
      <c r="L132" s="10">
        <v>255.48</v>
      </c>
      <c r="M132" s="11">
        <f t="shared" si="61"/>
        <v>324.07637999999997</v>
      </c>
      <c r="N132" s="13">
        <f t="shared" si="62"/>
        <v>229.44607704000001</v>
      </c>
      <c r="O132" s="12" t="s">
        <v>31</v>
      </c>
      <c r="P132" s="18" t="s">
        <v>39</v>
      </c>
    </row>
    <row r="133" spans="5:16" ht="23.25" x14ac:dyDescent="0.25">
      <c r="E133" s="2"/>
      <c r="F133" s="3" t="s">
        <v>401</v>
      </c>
      <c r="G133" s="4" t="s">
        <v>11</v>
      </c>
      <c r="H133" s="5" t="s">
        <v>221</v>
      </c>
      <c r="I133" s="101" t="s">
        <v>220</v>
      </c>
      <c r="J133" s="8" t="s">
        <v>209</v>
      </c>
      <c r="K133" s="9">
        <v>4</v>
      </c>
      <c r="L133" s="10">
        <v>11.17</v>
      </c>
      <c r="M133" s="11">
        <f t="shared" si="61"/>
        <v>14.169145</v>
      </c>
      <c r="N133" s="13">
        <f t="shared" si="62"/>
        <v>56.676580000000001</v>
      </c>
      <c r="O133" s="12" t="s">
        <v>31</v>
      </c>
      <c r="P133" s="18" t="s">
        <v>39</v>
      </c>
    </row>
    <row r="134" spans="5:16" ht="45.75" x14ac:dyDescent="0.25">
      <c r="E134" s="2"/>
      <c r="F134" s="3" t="s">
        <v>402</v>
      </c>
      <c r="G134" s="4" t="s">
        <v>11</v>
      </c>
      <c r="H134" s="5" t="s">
        <v>236</v>
      </c>
      <c r="I134" s="101" t="s">
        <v>235</v>
      </c>
      <c r="J134" s="8" t="s">
        <v>116</v>
      </c>
      <c r="K134" s="9">
        <f>17.73+1.08</f>
        <v>18.810000000000002</v>
      </c>
      <c r="L134" s="10">
        <v>8.4499999999999993</v>
      </c>
      <c r="M134" s="11">
        <f t="shared" si="61"/>
        <v>10.718824999999999</v>
      </c>
      <c r="N134" s="13">
        <f t="shared" si="62"/>
        <v>201.62109825000002</v>
      </c>
      <c r="O134" s="12" t="s">
        <v>31</v>
      </c>
      <c r="P134" s="18" t="s">
        <v>39</v>
      </c>
    </row>
    <row r="135" spans="5:16" ht="34.5" x14ac:dyDescent="0.25">
      <c r="E135" s="2"/>
      <c r="F135" s="3" t="s">
        <v>403</v>
      </c>
      <c r="G135" s="4" t="s">
        <v>11</v>
      </c>
      <c r="H135" s="5" t="s">
        <v>113</v>
      </c>
      <c r="I135" s="101" t="s">
        <v>114</v>
      </c>
      <c r="J135" s="8" t="s">
        <v>57</v>
      </c>
      <c r="K135" s="9">
        <v>28.36</v>
      </c>
      <c r="L135" s="10">
        <v>58.83</v>
      </c>
      <c r="M135" s="11">
        <f t="shared" si="61"/>
        <v>74.625855000000001</v>
      </c>
      <c r="N135" s="13">
        <f t="shared" si="62"/>
        <v>2116.3892477999998</v>
      </c>
      <c r="O135" s="12" t="s">
        <v>31</v>
      </c>
      <c r="P135" s="18" t="s">
        <v>39</v>
      </c>
    </row>
    <row r="136" spans="5:16" x14ac:dyDescent="0.25">
      <c r="E136" s="2"/>
      <c r="F136" s="53" t="s">
        <v>94</v>
      </c>
      <c r="G136" s="54"/>
      <c r="H136" s="58"/>
      <c r="I136" s="128" t="s">
        <v>115</v>
      </c>
      <c r="J136" s="48"/>
      <c r="K136" s="49"/>
      <c r="L136" s="56"/>
      <c r="M136" s="51"/>
      <c r="N136" s="57">
        <f>SUM(N138:N141)</f>
        <v>1796.4824970674999</v>
      </c>
      <c r="O136" s="12" t="s">
        <v>31</v>
      </c>
      <c r="P136" s="18" t="s">
        <v>39</v>
      </c>
    </row>
    <row r="137" spans="5:16" x14ac:dyDescent="0.25">
      <c r="E137" s="2"/>
      <c r="F137" s="3" t="s">
        <v>405</v>
      </c>
      <c r="G137" s="4"/>
      <c r="H137" s="5"/>
      <c r="I137" s="130" t="s">
        <v>214</v>
      </c>
      <c r="J137" s="8"/>
      <c r="K137" s="9"/>
      <c r="L137" s="10"/>
      <c r="M137" s="11"/>
      <c r="N137" s="13"/>
      <c r="O137" s="12" t="s">
        <v>31</v>
      </c>
      <c r="P137" s="18" t="s">
        <v>39</v>
      </c>
    </row>
    <row r="138" spans="5:16" ht="34.5" x14ac:dyDescent="0.25">
      <c r="E138" s="2"/>
      <c r="F138" s="3" t="s">
        <v>404</v>
      </c>
      <c r="G138" s="4" t="s">
        <v>11</v>
      </c>
      <c r="H138" s="5" t="s">
        <v>245</v>
      </c>
      <c r="I138" s="101" t="s">
        <v>244</v>
      </c>
      <c r="J138" s="8" t="s">
        <v>116</v>
      </c>
      <c r="K138" s="9">
        <f>11*1.2*1.2*0.6</f>
        <v>9.5039999999999978</v>
      </c>
      <c r="L138" s="10">
        <v>90.59</v>
      </c>
      <c r="M138" s="11">
        <f t="shared" ref="M138:M141" si="63">L138*1.2685</f>
        <v>114.913415</v>
      </c>
      <c r="N138" s="13">
        <f t="shared" ref="N138:N141" si="64">M138*K138</f>
        <v>1092.1370961599998</v>
      </c>
      <c r="O138" s="12" t="s">
        <v>31</v>
      </c>
      <c r="P138" s="18" t="s">
        <v>39</v>
      </c>
    </row>
    <row r="139" spans="5:16" ht="34.5" x14ac:dyDescent="0.25">
      <c r="E139" s="2"/>
      <c r="F139" s="3" t="s">
        <v>406</v>
      </c>
      <c r="G139" s="4" t="s">
        <v>11</v>
      </c>
      <c r="H139" s="5" t="s">
        <v>224</v>
      </c>
      <c r="I139" s="101" t="s">
        <v>223</v>
      </c>
      <c r="J139" s="8" t="s">
        <v>116</v>
      </c>
      <c r="K139" s="9">
        <f>36.51*0.2*0.5</f>
        <v>3.6509999999999998</v>
      </c>
      <c r="L139" s="10">
        <v>118.91</v>
      </c>
      <c r="M139" s="11">
        <f t="shared" si="63"/>
        <v>150.837335</v>
      </c>
      <c r="N139" s="13">
        <f t="shared" si="64"/>
        <v>550.70711008499995</v>
      </c>
      <c r="O139" s="12" t="s">
        <v>31</v>
      </c>
      <c r="P139" s="18" t="s">
        <v>39</v>
      </c>
    </row>
    <row r="140" spans="5:16" x14ac:dyDescent="0.25">
      <c r="E140" s="2"/>
      <c r="F140" s="3" t="s">
        <v>407</v>
      </c>
      <c r="G140" s="4"/>
      <c r="H140" s="5"/>
      <c r="I140" s="130" t="s">
        <v>117</v>
      </c>
      <c r="J140" s="8"/>
      <c r="K140" s="9"/>
      <c r="L140" s="10"/>
      <c r="M140" s="11">
        <f t="shared" si="63"/>
        <v>0</v>
      </c>
      <c r="N140" s="13">
        <f t="shared" si="64"/>
        <v>0</v>
      </c>
      <c r="O140" s="12" t="s">
        <v>31</v>
      </c>
      <c r="P140" s="18" t="s">
        <v>39</v>
      </c>
    </row>
    <row r="141" spans="5:16" x14ac:dyDescent="0.25">
      <c r="E141" s="2"/>
      <c r="F141" s="3" t="s">
        <v>408</v>
      </c>
      <c r="G141" s="4" t="s">
        <v>11</v>
      </c>
      <c r="H141" s="5" t="s">
        <v>118</v>
      </c>
      <c r="I141" s="101" t="s">
        <v>119</v>
      </c>
      <c r="J141" s="8" t="s">
        <v>116</v>
      </c>
      <c r="K141" s="9">
        <f>(K138+K139)*0.3</f>
        <v>3.946499999999999</v>
      </c>
      <c r="L141" s="10">
        <v>30.69</v>
      </c>
      <c r="M141" s="11">
        <f t="shared" si="63"/>
        <v>38.930264999999999</v>
      </c>
      <c r="N141" s="13">
        <f t="shared" si="64"/>
        <v>153.63829082249995</v>
      </c>
      <c r="O141" s="12" t="s">
        <v>31</v>
      </c>
      <c r="P141" s="18" t="s">
        <v>39</v>
      </c>
    </row>
    <row r="142" spans="5:16" x14ac:dyDescent="0.25">
      <c r="E142" s="2"/>
      <c r="F142" s="53" t="s">
        <v>95</v>
      </c>
      <c r="G142" s="54"/>
      <c r="H142" s="58"/>
      <c r="I142" s="139" t="s">
        <v>122</v>
      </c>
      <c r="J142" s="48"/>
      <c r="K142" s="49"/>
      <c r="L142" s="56"/>
      <c r="M142" s="51"/>
      <c r="N142" s="57">
        <f>SUM(N143+N148+N162+N167+N171+N158)</f>
        <v>94512.279682154767</v>
      </c>
      <c r="O142" s="12" t="s">
        <v>31</v>
      </c>
      <c r="P142" s="18" t="s">
        <v>39</v>
      </c>
    </row>
    <row r="143" spans="5:16" x14ac:dyDescent="0.25">
      <c r="E143" s="2"/>
      <c r="F143" s="53"/>
      <c r="G143" s="54"/>
      <c r="H143" s="58"/>
      <c r="I143" s="128" t="s">
        <v>241</v>
      </c>
      <c r="J143" s="48"/>
      <c r="K143" s="49"/>
      <c r="L143" s="56"/>
      <c r="M143" s="51"/>
      <c r="N143" s="57">
        <f>SUM(N144:N147)</f>
        <v>11809.2405387</v>
      </c>
      <c r="O143" s="12" t="s">
        <v>31</v>
      </c>
      <c r="P143" s="18" t="s">
        <v>39</v>
      </c>
    </row>
    <row r="144" spans="5:16" ht="34.5" x14ac:dyDescent="0.25">
      <c r="E144" s="2"/>
      <c r="F144" s="3" t="s">
        <v>409</v>
      </c>
      <c r="G144" s="4" t="s">
        <v>11</v>
      </c>
      <c r="H144" s="5" t="s">
        <v>247</v>
      </c>
      <c r="I144" s="101" t="s">
        <v>246</v>
      </c>
      <c r="J144" s="8" t="s">
        <v>147</v>
      </c>
      <c r="K144" s="9">
        <f>(1.1*0.4*4)*22</f>
        <v>38.720000000000006</v>
      </c>
      <c r="L144" s="10">
        <v>152.58000000000001</v>
      </c>
      <c r="M144" s="11">
        <f t="shared" ref="M144:M146" si="65">L144*1.2685</f>
        <v>193.54773</v>
      </c>
      <c r="N144" s="13">
        <f t="shared" ref="N144:N146" si="66">M144*K144</f>
        <v>7494.1681056000016</v>
      </c>
      <c r="O144" s="12" t="s">
        <v>31</v>
      </c>
      <c r="P144" s="18" t="s">
        <v>39</v>
      </c>
    </row>
    <row r="145" spans="5:16" ht="23.25" x14ac:dyDescent="0.25">
      <c r="E145" s="2"/>
      <c r="F145" s="3" t="s">
        <v>410</v>
      </c>
      <c r="G145" s="4" t="s">
        <v>11</v>
      </c>
      <c r="H145" s="5" t="s">
        <v>507</v>
      </c>
      <c r="I145" s="101" t="s">
        <v>506</v>
      </c>
      <c r="J145" s="8" t="s">
        <v>131</v>
      </c>
      <c r="K145" s="9">
        <f>198*0.365</f>
        <v>72.27</v>
      </c>
      <c r="L145" s="10">
        <v>16.28</v>
      </c>
      <c r="M145" s="11">
        <f t="shared" si="65"/>
        <v>20.65118</v>
      </c>
      <c r="N145" s="13">
        <f t="shared" si="66"/>
        <v>1492.4607785999999</v>
      </c>
      <c r="O145" s="12" t="s">
        <v>31</v>
      </c>
      <c r="P145" s="18" t="s">
        <v>39</v>
      </c>
    </row>
    <row r="146" spans="5:16" ht="23.25" x14ac:dyDescent="0.25">
      <c r="E146" s="2"/>
      <c r="F146" s="3" t="s">
        <v>411</v>
      </c>
      <c r="G146" s="4" t="s">
        <v>11</v>
      </c>
      <c r="H146" s="5" t="s">
        <v>243</v>
      </c>
      <c r="I146" s="101" t="s">
        <v>242</v>
      </c>
      <c r="J146" s="8" t="s">
        <v>116</v>
      </c>
      <c r="K146" s="9">
        <f>11*1*1*0.05</f>
        <v>0.55000000000000004</v>
      </c>
      <c r="L146" s="10">
        <v>103.5</v>
      </c>
      <c r="M146" s="11">
        <f t="shared" si="65"/>
        <v>131.28975</v>
      </c>
      <c r="N146" s="13">
        <f t="shared" si="66"/>
        <v>72.209362500000012</v>
      </c>
      <c r="O146" s="12" t="s">
        <v>31</v>
      </c>
      <c r="P146" s="18" t="s">
        <v>39</v>
      </c>
    </row>
    <row r="147" spans="5:16" ht="23.25" x14ac:dyDescent="0.25">
      <c r="E147" s="2"/>
      <c r="F147" s="3" t="s">
        <v>412</v>
      </c>
      <c r="G147" s="4" t="s">
        <v>11</v>
      </c>
      <c r="H147" s="5" t="s">
        <v>138</v>
      </c>
      <c r="I147" s="101" t="s">
        <v>139</v>
      </c>
      <c r="J147" s="8" t="s">
        <v>116</v>
      </c>
      <c r="K147" s="9">
        <f>11*1*1*0.4</f>
        <v>4.4000000000000004</v>
      </c>
      <c r="L147" s="10">
        <v>492.78</v>
      </c>
      <c r="M147" s="11">
        <f t="shared" ref="M147" si="67">L147*1.2685</f>
        <v>625.09142999999995</v>
      </c>
      <c r="N147" s="13">
        <f t="shared" ref="N147" si="68">M147*K147</f>
        <v>2750.4022919999998</v>
      </c>
      <c r="O147" s="12" t="s">
        <v>31</v>
      </c>
      <c r="P147" s="18" t="s">
        <v>39</v>
      </c>
    </row>
    <row r="148" spans="5:16" x14ac:dyDescent="0.25">
      <c r="E148" s="2"/>
      <c r="F148" s="53"/>
      <c r="G148" s="54"/>
      <c r="H148" s="58"/>
      <c r="I148" s="128" t="s">
        <v>248</v>
      </c>
      <c r="J148" s="48"/>
      <c r="K148" s="49"/>
      <c r="L148" s="56"/>
      <c r="M148" s="51"/>
      <c r="N148" s="57">
        <f>SUM(N149:N157)</f>
        <v>9524.2442541997498</v>
      </c>
      <c r="O148" s="12" t="s">
        <v>31</v>
      </c>
      <c r="P148" s="18" t="s">
        <v>39</v>
      </c>
    </row>
    <row r="149" spans="5:16" ht="34.5" x14ac:dyDescent="0.25">
      <c r="E149" s="2"/>
      <c r="F149" s="3" t="s">
        <v>413</v>
      </c>
      <c r="G149" s="4" t="s">
        <v>11</v>
      </c>
      <c r="H149" s="5" t="s">
        <v>120</v>
      </c>
      <c r="I149" s="101" t="s">
        <v>121</v>
      </c>
      <c r="J149" s="8" t="s">
        <v>57</v>
      </c>
      <c r="K149" s="9">
        <f>52.65*0.15*2</f>
        <v>15.794999999999998</v>
      </c>
      <c r="L149" s="10">
        <v>81.86</v>
      </c>
      <c r="M149" s="11">
        <f>L149*1.2685</f>
        <v>103.83941</v>
      </c>
      <c r="N149" s="13">
        <f>M149*K149</f>
        <v>1640.1434809499999</v>
      </c>
      <c r="O149" s="12" t="s">
        <v>31</v>
      </c>
      <c r="P149" s="18" t="s">
        <v>39</v>
      </c>
    </row>
    <row r="150" spans="5:16" ht="23.25" x14ac:dyDescent="0.25">
      <c r="E150" s="2"/>
      <c r="F150" s="3" t="s">
        <v>414</v>
      </c>
      <c r="G150" s="4" t="s">
        <v>11</v>
      </c>
      <c r="H150" s="5" t="s">
        <v>132</v>
      </c>
      <c r="I150" s="101" t="s">
        <v>127</v>
      </c>
      <c r="J150" s="8" t="s">
        <v>131</v>
      </c>
      <c r="K150" s="9">
        <f>((52.65/0.2)*0.165)+60</f>
        <v>103.43625</v>
      </c>
      <c r="L150" s="10">
        <v>18.91</v>
      </c>
      <c r="M150" s="11">
        <f t="shared" ref="M150:M152" si="69">L150*1.2685</f>
        <v>23.987334999999998</v>
      </c>
      <c r="N150" s="13">
        <f t="shared" ref="N150:N152" si="70">M150*K150</f>
        <v>2481.15997989375</v>
      </c>
      <c r="O150" s="12" t="s">
        <v>31</v>
      </c>
      <c r="P150" s="18" t="s">
        <v>39</v>
      </c>
    </row>
    <row r="151" spans="5:16" ht="23.25" x14ac:dyDescent="0.25">
      <c r="E151" s="2"/>
      <c r="F151" s="3" t="s">
        <v>415</v>
      </c>
      <c r="G151" s="4" t="s">
        <v>11</v>
      </c>
      <c r="H151" s="5" t="s">
        <v>133</v>
      </c>
      <c r="I151" s="101" t="s">
        <v>128</v>
      </c>
      <c r="J151" s="8" t="s">
        <v>131</v>
      </c>
      <c r="K151" s="9">
        <f>((52.65*4)*0.617)+50</f>
        <v>179.9402</v>
      </c>
      <c r="L151" s="10">
        <v>14.48</v>
      </c>
      <c r="M151" s="11">
        <f t="shared" si="69"/>
        <v>18.36788</v>
      </c>
      <c r="N151" s="13">
        <f t="shared" si="70"/>
        <v>3305.1200007759999</v>
      </c>
      <c r="O151" s="12" t="s">
        <v>31</v>
      </c>
      <c r="P151" s="18" t="s">
        <v>39</v>
      </c>
    </row>
    <row r="152" spans="5:16" ht="34.5" x14ac:dyDescent="0.25">
      <c r="E152" s="2"/>
      <c r="F152" s="3" t="s">
        <v>416</v>
      </c>
      <c r="G152" s="4" t="s">
        <v>11</v>
      </c>
      <c r="H152" s="5" t="s">
        <v>137</v>
      </c>
      <c r="I152" s="101" t="s">
        <v>136</v>
      </c>
      <c r="J152" s="8" t="s">
        <v>116</v>
      </c>
      <c r="K152" s="9">
        <f>52.65*0.15*0.4</f>
        <v>3.1589999999999998</v>
      </c>
      <c r="L152" s="10">
        <v>485.55</v>
      </c>
      <c r="M152" s="11">
        <f t="shared" si="69"/>
        <v>615.92017499999997</v>
      </c>
      <c r="N152" s="13">
        <f t="shared" si="70"/>
        <v>1945.6918328249999</v>
      </c>
      <c r="O152" s="12" t="s">
        <v>31</v>
      </c>
      <c r="P152" s="18" t="s">
        <v>39</v>
      </c>
    </row>
    <row r="153" spans="5:16" x14ac:dyDescent="0.25">
      <c r="E153" s="2"/>
      <c r="F153" s="3" t="s">
        <v>417</v>
      </c>
      <c r="G153" s="4"/>
      <c r="H153" s="5"/>
      <c r="I153" s="130" t="s">
        <v>514</v>
      </c>
      <c r="J153" s="8"/>
      <c r="K153" s="9"/>
      <c r="L153" s="10"/>
      <c r="M153" s="11"/>
      <c r="N153" s="13"/>
      <c r="O153" s="12"/>
      <c r="P153" s="18"/>
    </row>
    <row r="154" spans="5:16" ht="34.5" x14ac:dyDescent="0.25">
      <c r="E154" s="2"/>
      <c r="F154" s="3" t="s">
        <v>418</v>
      </c>
      <c r="G154" s="4" t="s">
        <v>11</v>
      </c>
      <c r="H154" s="5" t="s">
        <v>120</v>
      </c>
      <c r="I154" s="101" t="s">
        <v>121</v>
      </c>
      <c r="J154" s="8" t="s">
        <v>57</v>
      </c>
      <c r="K154" s="9">
        <v>0.34</v>
      </c>
      <c r="L154" s="10">
        <v>81.86</v>
      </c>
      <c r="M154" s="11">
        <f>L154*1.2685</f>
        <v>103.83941</v>
      </c>
      <c r="N154" s="13">
        <f>M154*K154</f>
        <v>35.305399400000006</v>
      </c>
      <c r="O154" s="12"/>
      <c r="P154" s="18"/>
    </row>
    <row r="155" spans="5:16" ht="23.25" x14ac:dyDescent="0.25">
      <c r="E155" s="2"/>
      <c r="F155" s="3" t="s">
        <v>419</v>
      </c>
      <c r="G155" s="4" t="s">
        <v>11</v>
      </c>
      <c r="H155" s="5" t="s">
        <v>132</v>
      </c>
      <c r="I155" s="101" t="s">
        <v>127</v>
      </c>
      <c r="J155" s="8" t="s">
        <v>131</v>
      </c>
      <c r="K155" s="9">
        <f>((1.8/0.2)*0.165)</f>
        <v>1.4850000000000001</v>
      </c>
      <c r="L155" s="10">
        <v>18.91</v>
      </c>
      <c r="M155" s="11">
        <f t="shared" ref="M155:M157" si="71">L155*1.2685</f>
        <v>23.987334999999998</v>
      </c>
      <c r="N155" s="13">
        <f t="shared" ref="N155:N157" si="72">M155*K155</f>
        <v>35.621192475000001</v>
      </c>
      <c r="O155" s="12"/>
      <c r="P155" s="18"/>
    </row>
    <row r="156" spans="5:16" ht="23.25" x14ac:dyDescent="0.25">
      <c r="E156" s="2"/>
      <c r="F156" s="3" t="s">
        <v>420</v>
      </c>
      <c r="G156" s="4" t="s">
        <v>11</v>
      </c>
      <c r="H156" s="5" t="s">
        <v>507</v>
      </c>
      <c r="I156" s="101" t="s">
        <v>506</v>
      </c>
      <c r="J156" s="8" t="s">
        <v>131</v>
      </c>
      <c r="K156" s="9">
        <f>1.8*0.395</f>
        <v>0.71100000000000008</v>
      </c>
      <c r="L156" s="10">
        <v>16.28</v>
      </c>
      <c r="M156" s="11">
        <f t="shared" si="71"/>
        <v>20.65118</v>
      </c>
      <c r="N156" s="13">
        <f t="shared" si="72"/>
        <v>14.682988980000001</v>
      </c>
      <c r="O156" s="12"/>
      <c r="P156" s="18"/>
    </row>
    <row r="157" spans="5:16" ht="34.5" x14ac:dyDescent="0.25">
      <c r="E157" s="2"/>
      <c r="F157" s="3"/>
      <c r="G157" s="4" t="s">
        <v>11</v>
      </c>
      <c r="H157" s="5" t="s">
        <v>137</v>
      </c>
      <c r="I157" s="101" t="s">
        <v>136</v>
      </c>
      <c r="J157" s="8" t="s">
        <v>116</v>
      </c>
      <c r="K157" s="9">
        <f>1.8*0.15*0.4</f>
        <v>0.10800000000000001</v>
      </c>
      <c r="L157" s="10">
        <v>485.55</v>
      </c>
      <c r="M157" s="11">
        <f t="shared" si="71"/>
        <v>615.92017499999997</v>
      </c>
      <c r="N157" s="13">
        <f t="shared" si="72"/>
        <v>66.519378900000007</v>
      </c>
      <c r="O157" s="12"/>
      <c r="P157" s="18"/>
    </row>
    <row r="158" spans="5:16" x14ac:dyDescent="0.25">
      <c r="E158" s="2"/>
      <c r="F158" s="53"/>
      <c r="G158" s="54"/>
      <c r="H158" s="58"/>
      <c r="I158" s="128" t="s">
        <v>251</v>
      </c>
      <c r="J158" s="48"/>
      <c r="K158" s="49"/>
      <c r="L158" s="56"/>
      <c r="M158" s="51"/>
      <c r="N158" s="57">
        <f>SUM(N159:N161)</f>
        <v>2844.94806212</v>
      </c>
      <c r="O158" s="12" t="s">
        <v>31</v>
      </c>
      <c r="P158" s="18" t="s">
        <v>39</v>
      </c>
    </row>
    <row r="159" spans="5:16" ht="34.5" x14ac:dyDescent="0.25">
      <c r="E159" s="2"/>
      <c r="F159" s="3" t="s">
        <v>421</v>
      </c>
      <c r="G159" s="4" t="s">
        <v>11</v>
      </c>
      <c r="H159" s="5" t="s">
        <v>259</v>
      </c>
      <c r="I159" s="101" t="s">
        <v>258</v>
      </c>
      <c r="J159" s="8" t="s">
        <v>116</v>
      </c>
      <c r="K159" s="9">
        <f>28.36*0.05</f>
        <v>1.4180000000000001</v>
      </c>
      <c r="L159" s="10">
        <v>97.56</v>
      </c>
      <c r="M159" s="11">
        <f>L159*1.2685</f>
        <v>123.75485999999999</v>
      </c>
      <c r="N159" s="13">
        <f>M159*K159</f>
        <v>175.48439148</v>
      </c>
      <c r="O159" s="12" t="s">
        <v>31</v>
      </c>
      <c r="P159" s="18" t="s">
        <v>39</v>
      </c>
    </row>
    <row r="160" spans="5:16" ht="34.5" x14ac:dyDescent="0.25">
      <c r="E160" s="2"/>
      <c r="F160" s="3" t="s">
        <v>422</v>
      </c>
      <c r="G160" s="4" t="s">
        <v>53</v>
      </c>
      <c r="H160" s="5" t="s">
        <v>261</v>
      </c>
      <c r="I160" s="101" t="s">
        <v>260</v>
      </c>
      <c r="J160" s="8" t="s">
        <v>147</v>
      </c>
      <c r="K160" s="9">
        <v>28.36</v>
      </c>
      <c r="L160" s="10">
        <v>29.44</v>
      </c>
      <c r="M160" s="11">
        <f t="shared" ref="M160:M161" si="73">L160*1.2685</f>
        <v>37.344639999999998</v>
      </c>
      <c r="N160" s="13">
        <f t="shared" ref="N160:N161" si="74">M160*K160</f>
        <v>1059.0939903999999</v>
      </c>
      <c r="O160" s="12" t="s">
        <v>31</v>
      </c>
      <c r="P160" s="18" t="s">
        <v>39</v>
      </c>
    </row>
    <row r="161" spans="5:16" ht="34.5" x14ac:dyDescent="0.25">
      <c r="E161" s="2"/>
      <c r="F161" s="3" t="s">
        <v>423</v>
      </c>
      <c r="G161" s="4" t="s">
        <v>11</v>
      </c>
      <c r="H161" s="5" t="s">
        <v>263</v>
      </c>
      <c r="I161" s="101" t="s">
        <v>262</v>
      </c>
      <c r="J161" s="8" t="s">
        <v>116</v>
      </c>
      <c r="K161" s="9">
        <f>28.36*0.1</f>
        <v>2.8360000000000003</v>
      </c>
      <c r="L161" s="10">
        <v>447.64</v>
      </c>
      <c r="M161" s="11">
        <f t="shared" si="73"/>
        <v>567.83133999999995</v>
      </c>
      <c r="N161" s="13">
        <f t="shared" si="74"/>
        <v>1610.36968024</v>
      </c>
      <c r="O161" s="12" t="s">
        <v>31</v>
      </c>
      <c r="P161" s="18" t="s">
        <v>39</v>
      </c>
    </row>
    <row r="162" spans="5:16" x14ac:dyDescent="0.25">
      <c r="E162" s="2"/>
      <c r="F162" s="53"/>
      <c r="G162" s="54"/>
      <c r="H162" s="58"/>
      <c r="I162" s="128" t="s">
        <v>227</v>
      </c>
      <c r="J162" s="48"/>
      <c r="K162" s="49"/>
      <c r="L162" s="56"/>
      <c r="M162" s="51"/>
      <c r="N162" s="57">
        <f>SUM(N163:N166)</f>
        <v>24635.889988665003</v>
      </c>
      <c r="O162" s="12" t="s">
        <v>31</v>
      </c>
      <c r="P162" s="18" t="s">
        <v>39</v>
      </c>
    </row>
    <row r="163" spans="5:16" ht="34.5" x14ac:dyDescent="0.25">
      <c r="E163" s="2"/>
      <c r="F163" s="3" t="s">
        <v>424</v>
      </c>
      <c r="G163" s="4" t="s">
        <v>11</v>
      </c>
      <c r="H163" s="5" t="s">
        <v>123</v>
      </c>
      <c r="I163" s="101" t="s">
        <v>124</v>
      </c>
      <c r="J163" s="8" t="s">
        <v>57</v>
      </c>
      <c r="K163" s="9">
        <f>(12*((0.15*3*2)+(0.4*3*2)))+(17*((0.15*3*2)+(0.4*3*2)))</f>
        <v>95.7</v>
      </c>
      <c r="L163" s="10">
        <v>134.16</v>
      </c>
      <c r="M163" s="11">
        <f t="shared" ref="M163:M172" si="75">L163*1.2685</f>
        <v>170.18196</v>
      </c>
      <c r="N163" s="13">
        <f t="shared" ref="N163:N172" si="76">M163*K163</f>
        <v>16286.413572000001</v>
      </c>
      <c r="O163" s="12" t="s">
        <v>31</v>
      </c>
      <c r="P163" s="18" t="s">
        <v>39</v>
      </c>
    </row>
    <row r="164" spans="5:16" ht="45.75" x14ac:dyDescent="0.25">
      <c r="E164" s="2"/>
      <c r="F164" s="3" t="s">
        <v>425</v>
      </c>
      <c r="G164" s="4" t="s">
        <v>11</v>
      </c>
      <c r="H164" s="5" t="s">
        <v>130</v>
      </c>
      <c r="I164" s="101" t="s">
        <v>129</v>
      </c>
      <c r="J164" s="8" t="s">
        <v>131</v>
      </c>
      <c r="K164" s="9">
        <f>29*4*3*0.617</f>
        <v>214.71600000000001</v>
      </c>
      <c r="L164" s="10">
        <v>14.39</v>
      </c>
      <c r="M164" s="11">
        <v>18.253715</v>
      </c>
      <c r="N164" s="13">
        <f t="shared" ref="N164:N166" si="77">M164*K164</f>
        <v>3919.3646699400001</v>
      </c>
      <c r="O164" s="12" t="s">
        <v>31</v>
      </c>
      <c r="P164" s="18" t="s">
        <v>39</v>
      </c>
    </row>
    <row r="165" spans="5:16" ht="45.75" x14ac:dyDescent="0.25">
      <c r="E165" s="2"/>
      <c r="F165" s="3" t="s">
        <v>426</v>
      </c>
      <c r="G165" s="4" t="s">
        <v>11</v>
      </c>
      <c r="H165" s="5" t="s">
        <v>134</v>
      </c>
      <c r="I165" s="101" t="s">
        <v>135</v>
      </c>
      <c r="J165" s="8" t="s">
        <v>131</v>
      </c>
      <c r="K165" s="9">
        <f>(87/0.2)*0.165</f>
        <v>71.775000000000006</v>
      </c>
      <c r="L165" s="10">
        <v>19.04</v>
      </c>
      <c r="M165" s="11">
        <v>18.253715</v>
      </c>
      <c r="N165" s="13">
        <f t="shared" si="77"/>
        <v>1310.160394125</v>
      </c>
      <c r="O165" s="12" t="s">
        <v>31</v>
      </c>
      <c r="P165" s="18" t="s">
        <v>39</v>
      </c>
    </row>
    <row r="166" spans="5:16" ht="34.5" x14ac:dyDescent="0.25">
      <c r="E166" s="2"/>
      <c r="F166" s="3" t="s">
        <v>427</v>
      </c>
      <c r="G166" s="4" t="s">
        <v>11</v>
      </c>
      <c r="H166" s="5" t="s">
        <v>140</v>
      </c>
      <c r="I166" s="101" t="s">
        <v>141</v>
      </c>
      <c r="J166" s="8" t="s">
        <v>116</v>
      </c>
      <c r="K166" s="9">
        <f>29*3*0.15*0.4</f>
        <v>5.22</v>
      </c>
      <c r="L166" s="10">
        <v>471.18</v>
      </c>
      <c r="M166" s="11">
        <f t="shared" ref="M166" si="78">L166*1.2685</f>
        <v>597.69182999999998</v>
      </c>
      <c r="N166" s="13">
        <f t="shared" si="77"/>
        <v>3119.9513525999996</v>
      </c>
      <c r="O166" s="12" t="s">
        <v>31</v>
      </c>
      <c r="P166" s="18" t="s">
        <v>39</v>
      </c>
    </row>
    <row r="167" spans="5:16" x14ac:dyDescent="0.25">
      <c r="E167" s="2"/>
      <c r="F167" s="53"/>
      <c r="G167" s="54"/>
      <c r="H167" s="58"/>
      <c r="I167" s="128" t="s">
        <v>228</v>
      </c>
      <c r="J167" s="48"/>
      <c r="K167" s="49"/>
      <c r="L167" s="56"/>
      <c r="M167" s="51"/>
      <c r="N167" s="57">
        <f>SUM(N168:N170)</f>
        <v>39243.200169870004</v>
      </c>
      <c r="O167" s="12" t="s">
        <v>31</v>
      </c>
      <c r="P167" s="18" t="s">
        <v>39</v>
      </c>
    </row>
    <row r="168" spans="5:16" ht="34.5" x14ac:dyDescent="0.25">
      <c r="E168" s="2"/>
      <c r="F168" s="3" t="s">
        <v>428</v>
      </c>
      <c r="G168" s="4" t="s">
        <v>11</v>
      </c>
      <c r="H168" s="5" t="s">
        <v>125</v>
      </c>
      <c r="I168" s="101" t="s">
        <v>126</v>
      </c>
      <c r="J168" s="8" t="s">
        <v>57</v>
      </c>
      <c r="K168" s="9">
        <v>100.89</v>
      </c>
      <c r="L168" s="10">
        <v>165.99</v>
      </c>
      <c r="M168" s="11">
        <f t="shared" si="75"/>
        <v>210.55831499999999</v>
      </c>
      <c r="N168" s="13">
        <f t="shared" si="76"/>
        <v>21243.228400349999</v>
      </c>
      <c r="O168" s="12" t="s">
        <v>31</v>
      </c>
      <c r="P168" s="18" t="s">
        <v>39</v>
      </c>
    </row>
    <row r="169" spans="5:16" ht="45.75" x14ac:dyDescent="0.25">
      <c r="E169" s="2"/>
      <c r="F169" s="3" t="s">
        <v>429</v>
      </c>
      <c r="G169" s="4" t="s">
        <v>11</v>
      </c>
      <c r="H169" s="5" t="s">
        <v>134</v>
      </c>
      <c r="I169" s="101" t="s">
        <v>135</v>
      </c>
      <c r="J169" s="8" t="s">
        <v>131</v>
      </c>
      <c r="K169" s="9">
        <f>(276/0.2)*0.167</f>
        <v>230.46</v>
      </c>
      <c r="L169" s="10">
        <v>19.04</v>
      </c>
      <c r="M169" s="11">
        <f t="shared" si="75"/>
        <v>24.152239999999999</v>
      </c>
      <c r="N169" s="13">
        <f t="shared" si="76"/>
        <v>5566.1252304</v>
      </c>
      <c r="O169" s="12" t="s">
        <v>31</v>
      </c>
      <c r="P169" s="18" t="s">
        <v>39</v>
      </c>
    </row>
    <row r="170" spans="5:16" ht="45.75" x14ac:dyDescent="0.25">
      <c r="E170" s="2"/>
      <c r="F170" s="3" t="s">
        <v>430</v>
      </c>
      <c r="G170" s="4" t="s">
        <v>11</v>
      </c>
      <c r="H170" s="5" t="s">
        <v>130</v>
      </c>
      <c r="I170" s="101" t="s">
        <v>129</v>
      </c>
      <c r="J170" s="8" t="s">
        <v>131</v>
      </c>
      <c r="K170" s="9">
        <f>276*4*0.617</f>
        <v>681.16800000000001</v>
      </c>
      <c r="L170" s="10">
        <v>14.39</v>
      </c>
      <c r="M170" s="11">
        <f t="shared" si="75"/>
        <v>18.253715</v>
      </c>
      <c r="N170" s="13">
        <f t="shared" si="76"/>
        <v>12433.846539120001</v>
      </c>
      <c r="O170" s="12" t="s">
        <v>31</v>
      </c>
      <c r="P170" s="18" t="s">
        <v>39</v>
      </c>
    </row>
    <row r="171" spans="5:16" x14ac:dyDescent="0.25">
      <c r="E171" s="2"/>
      <c r="F171" s="53"/>
      <c r="G171" s="54"/>
      <c r="H171" s="58"/>
      <c r="I171" s="128" t="s">
        <v>282</v>
      </c>
      <c r="J171" s="48"/>
      <c r="K171" s="49"/>
      <c r="L171" s="56"/>
      <c r="M171" s="51"/>
      <c r="N171" s="57">
        <f>SUM(N172:N172)</f>
        <v>6454.7566686</v>
      </c>
      <c r="O171" s="12" t="s">
        <v>31</v>
      </c>
      <c r="P171" s="18" t="s">
        <v>39</v>
      </c>
    </row>
    <row r="172" spans="5:16" ht="34.5" x14ac:dyDescent="0.25">
      <c r="E172" s="2"/>
      <c r="F172" s="3" t="s">
        <v>515</v>
      </c>
      <c r="G172" s="4" t="s">
        <v>11</v>
      </c>
      <c r="H172" s="5" t="s">
        <v>273</v>
      </c>
      <c r="I172" s="101" t="s">
        <v>272</v>
      </c>
      <c r="J172" s="8" t="s">
        <v>147</v>
      </c>
      <c r="K172" s="9">
        <v>28.26</v>
      </c>
      <c r="L172" s="10">
        <v>180.06</v>
      </c>
      <c r="M172" s="11">
        <f t="shared" si="75"/>
        <v>228.40610999999998</v>
      </c>
      <c r="N172" s="13">
        <f t="shared" si="76"/>
        <v>6454.7566686</v>
      </c>
      <c r="O172" s="12" t="s">
        <v>31</v>
      </c>
      <c r="P172" s="18" t="s">
        <v>39</v>
      </c>
    </row>
    <row r="173" spans="5:16" x14ac:dyDescent="0.25">
      <c r="E173" s="2"/>
      <c r="F173" s="53" t="s">
        <v>96</v>
      </c>
      <c r="G173" s="54"/>
      <c r="H173" s="58"/>
      <c r="I173" s="128" t="s">
        <v>187</v>
      </c>
      <c r="J173" s="48"/>
      <c r="K173" s="49"/>
      <c r="L173" s="56"/>
      <c r="M173" s="51"/>
      <c r="N173" s="57">
        <f>SUM(N174:N179)</f>
        <v>98807.132233499986</v>
      </c>
      <c r="O173" s="12" t="s">
        <v>31</v>
      </c>
      <c r="P173" s="18" t="s">
        <v>39</v>
      </c>
    </row>
    <row r="174" spans="5:16" ht="45.75" x14ac:dyDescent="0.25">
      <c r="E174" s="2"/>
      <c r="F174" s="3" t="s">
        <v>431</v>
      </c>
      <c r="G174" s="4" t="s">
        <v>11</v>
      </c>
      <c r="H174" s="5" t="s">
        <v>146</v>
      </c>
      <c r="I174" s="101" t="s">
        <v>145</v>
      </c>
      <c r="J174" s="8" t="s">
        <v>147</v>
      </c>
      <c r="K174" s="9">
        <f>(98.3*2.4)+(109.53)</f>
        <v>345.45</v>
      </c>
      <c r="L174" s="10">
        <v>81.48</v>
      </c>
      <c r="M174" s="11">
        <f t="shared" si="61"/>
        <v>103.35738000000001</v>
      </c>
      <c r="N174" s="13">
        <f t="shared" si="62"/>
        <v>35704.806921000003</v>
      </c>
      <c r="O174" s="12" t="s">
        <v>31</v>
      </c>
      <c r="P174" s="18" t="s">
        <v>39</v>
      </c>
    </row>
    <row r="175" spans="5:16" ht="23.25" x14ac:dyDescent="0.25">
      <c r="E175" s="2"/>
      <c r="F175" s="3" t="s">
        <v>432</v>
      </c>
      <c r="G175" s="4" t="s">
        <v>11</v>
      </c>
      <c r="H175" s="7" t="s">
        <v>194</v>
      </c>
      <c r="I175" s="101" t="s">
        <v>193</v>
      </c>
      <c r="J175" s="8" t="s">
        <v>147</v>
      </c>
      <c r="K175" s="9">
        <v>121.75</v>
      </c>
      <c r="L175" s="10">
        <v>281.27999999999997</v>
      </c>
      <c r="M175" s="11">
        <f t="shared" si="61"/>
        <v>356.80367999999993</v>
      </c>
      <c r="N175" s="13">
        <f t="shared" si="62"/>
        <v>43440.84803999999</v>
      </c>
      <c r="O175" s="12" t="s">
        <v>31</v>
      </c>
      <c r="P175" s="18" t="s">
        <v>39</v>
      </c>
    </row>
    <row r="176" spans="5:16" ht="23.25" x14ac:dyDescent="0.25">
      <c r="E176" s="2"/>
      <c r="F176" s="3" t="s">
        <v>433</v>
      </c>
      <c r="G176" s="4" t="s">
        <v>11</v>
      </c>
      <c r="H176" s="7" t="s">
        <v>284</v>
      </c>
      <c r="I176" s="101" t="s">
        <v>283</v>
      </c>
      <c r="J176" s="8" t="s">
        <v>5</v>
      </c>
      <c r="K176" s="9">
        <v>3.6</v>
      </c>
      <c r="L176" s="10">
        <v>96.99</v>
      </c>
      <c r="M176" s="11">
        <f t="shared" si="61"/>
        <v>123.03181499999999</v>
      </c>
      <c r="N176" s="13">
        <f t="shared" si="62"/>
        <v>442.914534</v>
      </c>
      <c r="O176" s="12" t="s">
        <v>31</v>
      </c>
      <c r="P176" s="18" t="s">
        <v>39</v>
      </c>
    </row>
    <row r="177" spans="5:16" ht="23.25" x14ac:dyDescent="0.25">
      <c r="E177" s="2"/>
      <c r="F177" s="3" t="s">
        <v>434</v>
      </c>
      <c r="G177" s="4" t="s">
        <v>11</v>
      </c>
      <c r="H177" s="7" t="s">
        <v>286</v>
      </c>
      <c r="I177" s="101" t="s">
        <v>285</v>
      </c>
      <c r="J177" s="8" t="s">
        <v>5</v>
      </c>
      <c r="K177" s="9">
        <v>3.6</v>
      </c>
      <c r="L177" s="10">
        <v>99.19</v>
      </c>
      <c r="M177" s="11">
        <f t="shared" si="61"/>
        <v>125.822515</v>
      </c>
      <c r="N177" s="13">
        <f t="shared" si="62"/>
        <v>452.96105399999999</v>
      </c>
      <c r="O177" s="12" t="s">
        <v>31</v>
      </c>
      <c r="P177" s="18" t="s">
        <v>39</v>
      </c>
    </row>
    <row r="178" spans="5:16" ht="23.25" x14ac:dyDescent="0.25">
      <c r="E178" s="2"/>
      <c r="F178" s="3" t="s">
        <v>435</v>
      </c>
      <c r="G178" s="4" t="s">
        <v>11</v>
      </c>
      <c r="H178" s="7" t="s">
        <v>257</v>
      </c>
      <c r="I178" s="101" t="s">
        <v>256</v>
      </c>
      <c r="J178" s="8" t="s">
        <v>5</v>
      </c>
      <c r="K178" s="9">
        <v>7.1</v>
      </c>
      <c r="L178" s="10">
        <v>90.47</v>
      </c>
      <c r="M178" s="11">
        <f t="shared" si="61"/>
        <v>114.761195</v>
      </c>
      <c r="N178" s="13">
        <f t="shared" si="62"/>
        <v>814.80448449999994</v>
      </c>
      <c r="O178" s="12" t="s">
        <v>31</v>
      </c>
      <c r="P178" s="18" t="s">
        <v>39</v>
      </c>
    </row>
    <row r="179" spans="5:16" ht="45.75" x14ac:dyDescent="0.25">
      <c r="E179" s="2"/>
      <c r="F179" s="3" t="s">
        <v>436</v>
      </c>
      <c r="G179" s="4" t="s">
        <v>11</v>
      </c>
      <c r="H179" s="5" t="s">
        <v>189</v>
      </c>
      <c r="I179" s="101" t="s">
        <v>188</v>
      </c>
      <c r="J179" s="8" t="s">
        <v>131</v>
      </c>
      <c r="K179" s="9">
        <v>722</v>
      </c>
      <c r="L179" s="10">
        <v>19.600000000000001</v>
      </c>
      <c r="M179" s="11">
        <f t="shared" si="61"/>
        <v>24.8626</v>
      </c>
      <c r="N179" s="13">
        <f t="shared" si="62"/>
        <v>17950.797200000001</v>
      </c>
      <c r="O179" s="12" t="s">
        <v>31</v>
      </c>
      <c r="P179" s="18" t="s">
        <v>39</v>
      </c>
    </row>
    <row r="180" spans="5:16" x14ac:dyDescent="0.25">
      <c r="E180" s="2"/>
      <c r="F180" s="53" t="s">
        <v>97</v>
      </c>
      <c r="G180" s="54"/>
      <c r="H180" s="58"/>
      <c r="I180" s="128" t="s">
        <v>270</v>
      </c>
      <c r="J180" s="48"/>
      <c r="K180" s="49"/>
      <c r="L180" s="56"/>
      <c r="M180" s="51"/>
      <c r="N180" s="57">
        <f>SUM(N181:N188)</f>
        <v>9891.8264250000011</v>
      </c>
      <c r="O180" s="12" t="s">
        <v>31</v>
      </c>
      <c r="P180" s="18" t="s">
        <v>39</v>
      </c>
    </row>
    <row r="181" spans="5:16" ht="34.5" x14ac:dyDescent="0.25">
      <c r="E181" s="2"/>
      <c r="F181" s="3" t="s">
        <v>437</v>
      </c>
      <c r="G181" s="4" t="s">
        <v>11</v>
      </c>
      <c r="H181" s="5" t="s">
        <v>290</v>
      </c>
      <c r="I181" s="101" t="s">
        <v>289</v>
      </c>
      <c r="J181" s="8" t="s">
        <v>295</v>
      </c>
      <c r="K181" s="9">
        <v>20</v>
      </c>
      <c r="L181" s="10">
        <v>205.93</v>
      </c>
      <c r="M181" s="11">
        <f t="shared" ref="M181:M188" si="79">L181*1.2685</f>
        <v>261.22220499999997</v>
      </c>
      <c r="N181" s="13">
        <f t="shared" ref="N181:N188" si="80">M181*K181</f>
        <v>5224.4440999999997</v>
      </c>
      <c r="O181" s="12" t="s">
        <v>31</v>
      </c>
      <c r="P181" s="18" t="s">
        <v>39</v>
      </c>
    </row>
    <row r="182" spans="5:16" ht="57" x14ac:dyDescent="0.25">
      <c r="E182" s="2"/>
      <c r="F182" s="3" t="s">
        <v>438</v>
      </c>
      <c r="G182" s="4" t="s">
        <v>11</v>
      </c>
      <c r="H182" s="5" t="s">
        <v>292</v>
      </c>
      <c r="I182" s="101" t="s">
        <v>291</v>
      </c>
      <c r="J182" s="8" t="s">
        <v>295</v>
      </c>
      <c r="K182" s="9">
        <v>7</v>
      </c>
      <c r="L182" s="10">
        <v>203.87</v>
      </c>
      <c r="M182" s="11">
        <f t="shared" si="79"/>
        <v>258.60909500000002</v>
      </c>
      <c r="N182" s="13">
        <f t="shared" si="80"/>
        <v>1810.2636650000002</v>
      </c>
      <c r="O182" s="12"/>
      <c r="P182" s="18"/>
    </row>
    <row r="183" spans="5:16" ht="23.25" x14ac:dyDescent="0.25">
      <c r="E183" s="2"/>
      <c r="F183" s="3" t="s">
        <v>439</v>
      </c>
      <c r="G183" s="4" t="s">
        <v>11</v>
      </c>
      <c r="H183" s="5" t="s">
        <v>513</v>
      </c>
      <c r="I183" s="101" t="s">
        <v>512</v>
      </c>
      <c r="J183" s="8" t="s">
        <v>295</v>
      </c>
      <c r="K183" s="9">
        <v>20</v>
      </c>
      <c r="L183" s="10">
        <v>37.78</v>
      </c>
      <c r="M183" s="11">
        <f t="shared" si="79"/>
        <v>47.923929999999999</v>
      </c>
      <c r="N183" s="13">
        <f t="shared" si="80"/>
        <v>958.47859999999991</v>
      </c>
      <c r="O183" s="12" t="s">
        <v>31</v>
      </c>
      <c r="P183" s="18" t="s">
        <v>39</v>
      </c>
    </row>
    <row r="184" spans="5:16" ht="34.5" x14ac:dyDescent="0.25">
      <c r="E184" s="2"/>
      <c r="F184" s="3" t="s">
        <v>440</v>
      </c>
      <c r="G184" s="4" t="s">
        <v>11</v>
      </c>
      <c r="H184" s="5" t="s">
        <v>294</v>
      </c>
      <c r="I184" s="101" t="s">
        <v>293</v>
      </c>
      <c r="J184" s="8" t="s">
        <v>295</v>
      </c>
      <c r="K184" s="9">
        <v>1</v>
      </c>
      <c r="L184" s="10">
        <v>86.75</v>
      </c>
      <c r="M184" s="11">
        <f t="shared" si="79"/>
        <v>110.04237499999999</v>
      </c>
      <c r="N184" s="13">
        <f t="shared" si="80"/>
        <v>110.04237499999999</v>
      </c>
      <c r="O184" s="12"/>
      <c r="P184" s="18"/>
    </row>
    <row r="185" spans="5:16" ht="23.25" x14ac:dyDescent="0.25">
      <c r="E185" s="2"/>
      <c r="F185" s="3" t="s">
        <v>441</v>
      </c>
      <c r="G185" s="4" t="s">
        <v>11</v>
      </c>
      <c r="H185" s="5" t="s">
        <v>298</v>
      </c>
      <c r="I185" s="101" t="s">
        <v>296</v>
      </c>
      <c r="J185" s="8" t="s">
        <v>295</v>
      </c>
      <c r="K185" s="9">
        <v>3</v>
      </c>
      <c r="L185" s="10">
        <v>73.97</v>
      </c>
      <c r="M185" s="11">
        <f t="shared" si="79"/>
        <v>93.830945</v>
      </c>
      <c r="N185" s="13">
        <f t="shared" si="80"/>
        <v>281.49283500000001</v>
      </c>
      <c r="O185" s="12" t="s">
        <v>31</v>
      </c>
      <c r="P185" s="18" t="s">
        <v>39</v>
      </c>
    </row>
    <row r="186" spans="5:16" ht="23.25" x14ac:dyDescent="0.25">
      <c r="E186" s="2"/>
      <c r="F186" s="3" t="s">
        <v>442</v>
      </c>
      <c r="G186" s="4" t="s">
        <v>11</v>
      </c>
      <c r="H186" s="5" t="s">
        <v>299</v>
      </c>
      <c r="I186" s="101" t="s">
        <v>297</v>
      </c>
      <c r="J186" s="8" t="s">
        <v>295</v>
      </c>
      <c r="K186" s="9">
        <v>2</v>
      </c>
      <c r="L186" s="10">
        <v>82.96</v>
      </c>
      <c r="M186" s="11">
        <f t="shared" si="79"/>
        <v>105.23475999999999</v>
      </c>
      <c r="N186" s="13">
        <f t="shared" si="80"/>
        <v>210.46951999999999</v>
      </c>
      <c r="O186" s="12"/>
      <c r="P186" s="18"/>
    </row>
    <row r="187" spans="5:16" ht="23.25" x14ac:dyDescent="0.25">
      <c r="E187" s="2"/>
      <c r="F187" s="3" t="s">
        <v>443</v>
      </c>
      <c r="G187" s="4" t="s">
        <v>53</v>
      </c>
      <c r="H187" s="5" t="s">
        <v>331</v>
      </c>
      <c r="I187" s="101" t="s">
        <v>330</v>
      </c>
      <c r="J187" s="8" t="s">
        <v>295</v>
      </c>
      <c r="K187" s="9">
        <v>8</v>
      </c>
      <c r="L187" s="10">
        <v>52.21</v>
      </c>
      <c r="M187" s="11">
        <f t="shared" si="79"/>
        <v>66.228385000000003</v>
      </c>
      <c r="N187" s="13">
        <f t="shared" si="80"/>
        <v>529.82708000000002</v>
      </c>
      <c r="O187" s="12" t="s">
        <v>31</v>
      </c>
      <c r="P187" s="18" t="s">
        <v>39</v>
      </c>
    </row>
    <row r="188" spans="5:16" ht="34.5" x14ac:dyDescent="0.25">
      <c r="E188" s="2"/>
      <c r="F188" s="3" t="s">
        <v>444</v>
      </c>
      <c r="G188" s="4" t="s">
        <v>11</v>
      </c>
      <c r="H188" s="5" t="s">
        <v>333</v>
      </c>
      <c r="I188" s="101" t="s">
        <v>332</v>
      </c>
      <c r="J188" s="8" t="s">
        <v>5</v>
      </c>
      <c r="K188" s="9">
        <v>150</v>
      </c>
      <c r="L188" s="10">
        <v>4.03</v>
      </c>
      <c r="M188" s="11">
        <f t="shared" si="79"/>
        <v>5.1120549999999998</v>
      </c>
      <c r="N188" s="13">
        <f t="shared" si="80"/>
        <v>766.80824999999993</v>
      </c>
      <c r="O188" s="12"/>
      <c r="P188" s="18"/>
    </row>
    <row r="189" spans="5:16" x14ac:dyDescent="0.25">
      <c r="E189" s="2"/>
      <c r="F189" s="53" t="s">
        <v>101</v>
      </c>
      <c r="G189" s="54"/>
      <c r="H189" s="58"/>
      <c r="I189" s="128" t="s">
        <v>271</v>
      </c>
      <c r="J189" s="48"/>
      <c r="K189" s="49"/>
      <c r="L189" s="56"/>
      <c r="M189" s="51"/>
      <c r="N189" s="57">
        <f>SUM(N190:N204)</f>
        <v>10304.0255</v>
      </c>
      <c r="O189" s="12" t="s">
        <v>31</v>
      </c>
      <c r="P189" s="18" t="s">
        <v>39</v>
      </c>
    </row>
    <row r="190" spans="5:16" ht="23.25" x14ac:dyDescent="0.25">
      <c r="E190" s="2"/>
      <c r="F190" s="3" t="s">
        <v>445</v>
      </c>
      <c r="G190" s="4" t="s">
        <v>53</v>
      </c>
      <c r="H190" s="5" t="s">
        <v>301</v>
      </c>
      <c r="I190" s="101" t="s">
        <v>300</v>
      </c>
      <c r="J190" s="8" t="s">
        <v>209</v>
      </c>
      <c r="K190" s="9">
        <v>2</v>
      </c>
      <c r="L190" s="10">
        <v>439.19</v>
      </c>
      <c r="M190" s="11">
        <f t="shared" ref="M190" si="81">L190*1.2685</f>
        <v>557.11251500000003</v>
      </c>
      <c r="N190" s="13">
        <f t="shared" ref="N190:N191" si="82">M190*K190</f>
        <v>1114.2250300000001</v>
      </c>
      <c r="O190" s="12" t="s">
        <v>31</v>
      </c>
      <c r="P190" s="18" t="s">
        <v>39</v>
      </c>
    </row>
    <row r="191" spans="5:16" ht="23.25" x14ac:dyDescent="0.25">
      <c r="E191" s="2"/>
      <c r="F191" s="3" t="s">
        <v>448</v>
      </c>
      <c r="G191" s="4" t="s">
        <v>53</v>
      </c>
      <c r="H191" s="5" t="s">
        <v>303</v>
      </c>
      <c r="I191" s="101" t="s">
        <v>302</v>
      </c>
      <c r="J191" s="8" t="s">
        <v>295</v>
      </c>
      <c r="K191" s="9">
        <v>2</v>
      </c>
      <c r="L191" s="10">
        <v>739.19</v>
      </c>
      <c r="M191" s="11">
        <f>L191*1.2685</f>
        <v>937.66251499999998</v>
      </c>
      <c r="N191" s="13">
        <f t="shared" si="82"/>
        <v>1875.32503</v>
      </c>
      <c r="O191" s="12" t="s">
        <v>31</v>
      </c>
      <c r="P191" s="18" t="s">
        <v>39</v>
      </c>
    </row>
    <row r="192" spans="5:16" ht="57" x14ac:dyDescent="0.25">
      <c r="E192" s="2"/>
      <c r="F192" s="3" t="s">
        <v>446</v>
      </c>
      <c r="G192" s="4" t="s">
        <v>53</v>
      </c>
      <c r="H192" s="5" t="s">
        <v>327</v>
      </c>
      <c r="I192" s="101" t="s">
        <v>326</v>
      </c>
      <c r="J192" s="8" t="s">
        <v>295</v>
      </c>
      <c r="K192" s="9">
        <v>2</v>
      </c>
      <c r="L192" s="10">
        <v>1067.8499999999999</v>
      </c>
      <c r="M192" s="11">
        <f t="shared" ref="M192:M204" si="83">L192*1.2685</f>
        <v>1354.5677249999999</v>
      </c>
      <c r="N192" s="13">
        <f t="shared" ref="N192:N193" si="84">M192*K192</f>
        <v>2709.1354499999998</v>
      </c>
      <c r="O192" s="12" t="s">
        <v>31</v>
      </c>
      <c r="P192" s="18" t="s">
        <v>39</v>
      </c>
    </row>
    <row r="193" spans="5:16" ht="57" x14ac:dyDescent="0.25">
      <c r="E193" s="2"/>
      <c r="F193" s="3" t="s">
        <v>449</v>
      </c>
      <c r="G193" s="4" t="s">
        <v>53</v>
      </c>
      <c r="H193" s="5" t="s">
        <v>329</v>
      </c>
      <c r="I193" s="101" t="s">
        <v>328</v>
      </c>
      <c r="J193" s="8" t="s">
        <v>209</v>
      </c>
      <c r="K193" s="9">
        <v>2</v>
      </c>
      <c r="L193" s="10">
        <v>250.62</v>
      </c>
      <c r="M193" s="11">
        <f t="shared" si="83"/>
        <v>317.91147000000001</v>
      </c>
      <c r="N193" s="13">
        <f t="shared" si="84"/>
        <v>635.82294000000002</v>
      </c>
      <c r="O193" s="12"/>
      <c r="P193" s="18"/>
    </row>
    <row r="194" spans="5:16" ht="57" x14ac:dyDescent="0.25">
      <c r="E194" s="2"/>
      <c r="F194" s="3" t="s">
        <v>450</v>
      </c>
      <c r="G194" s="4" t="s">
        <v>11</v>
      </c>
      <c r="H194" s="5" t="s">
        <v>307</v>
      </c>
      <c r="I194" s="101" t="s">
        <v>306</v>
      </c>
      <c r="J194" s="8" t="s">
        <v>5</v>
      </c>
      <c r="K194" s="9">
        <v>10</v>
      </c>
      <c r="L194" s="10">
        <v>73.94</v>
      </c>
      <c r="M194" s="11">
        <f t="shared" si="83"/>
        <v>93.79289</v>
      </c>
      <c r="N194" s="13">
        <f t="shared" ref="N194:N204" si="85">M194*K194</f>
        <v>937.9289</v>
      </c>
      <c r="O194" s="12"/>
      <c r="P194" s="18"/>
    </row>
    <row r="195" spans="5:16" ht="23.25" x14ac:dyDescent="0.25">
      <c r="E195" s="2"/>
      <c r="F195" s="3" t="s">
        <v>451</v>
      </c>
      <c r="G195" s="4" t="s">
        <v>53</v>
      </c>
      <c r="H195" s="5" t="s">
        <v>309</v>
      </c>
      <c r="I195" s="101" t="s">
        <v>308</v>
      </c>
      <c r="J195" s="8" t="s">
        <v>209</v>
      </c>
      <c r="K195" s="9">
        <v>8</v>
      </c>
      <c r="L195" s="10">
        <v>30.42</v>
      </c>
      <c r="M195" s="11">
        <f t="shared" si="83"/>
        <v>38.587769999999999</v>
      </c>
      <c r="N195" s="13">
        <f t="shared" si="85"/>
        <v>308.70215999999999</v>
      </c>
      <c r="O195" s="12"/>
      <c r="P195" s="18"/>
    </row>
    <row r="196" spans="5:16" ht="57" x14ac:dyDescent="0.25">
      <c r="E196" s="2"/>
      <c r="F196" s="3" t="s">
        <v>452</v>
      </c>
      <c r="G196" s="4" t="s">
        <v>11</v>
      </c>
      <c r="H196" s="5" t="s">
        <v>311</v>
      </c>
      <c r="I196" s="101" t="s">
        <v>310</v>
      </c>
      <c r="J196" s="8" t="s">
        <v>5</v>
      </c>
      <c r="K196" s="9">
        <v>20</v>
      </c>
      <c r="L196" s="10">
        <v>59.82</v>
      </c>
      <c r="M196" s="11">
        <f t="shared" si="83"/>
        <v>75.88167</v>
      </c>
      <c r="N196" s="13">
        <f t="shared" si="85"/>
        <v>1517.6333999999999</v>
      </c>
      <c r="O196" s="12"/>
      <c r="P196" s="18"/>
    </row>
    <row r="197" spans="5:16" ht="23.25" x14ac:dyDescent="0.25">
      <c r="E197" s="2"/>
      <c r="F197" s="3" t="s">
        <v>453</v>
      </c>
      <c r="G197" s="4" t="s">
        <v>53</v>
      </c>
      <c r="H197" s="5" t="s">
        <v>323</v>
      </c>
      <c r="I197" s="101" t="s">
        <v>322</v>
      </c>
      <c r="J197" s="8" t="s">
        <v>295</v>
      </c>
      <c r="K197" s="9">
        <v>4</v>
      </c>
      <c r="L197" s="10">
        <v>9.89</v>
      </c>
      <c r="M197" s="11">
        <f t="shared" si="83"/>
        <v>12.545465</v>
      </c>
      <c r="N197" s="13">
        <f t="shared" si="85"/>
        <v>50.18186</v>
      </c>
      <c r="O197" s="12"/>
      <c r="P197" s="18"/>
    </row>
    <row r="198" spans="5:16" ht="23.25" x14ac:dyDescent="0.25">
      <c r="E198" s="2"/>
      <c r="F198" s="3"/>
      <c r="G198" s="4" t="s">
        <v>11</v>
      </c>
      <c r="H198" s="5" t="s">
        <v>524</v>
      </c>
      <c r="I198" s="101" t="s">
        <v>523</v>
      </c>
      <c r="J198" s="8" t="s">
        <v>295</v>
      </c>
      <c r="K198" s="9">
        <v>1</v>
      </c>
      <c r="L198" s="10">
        <v>36.9</v>
      </c>
      <c r="M198" s="11">
        <f t="shared" si="83"/>
        <v>46.807649999999995</v>
      </c>
      <c r="N198" s="13">
        <f t="shared" si="85"/>
        <v>46.807649999999995</v>
      </c>
      <c r="O198" s="12"/>
      <c r="P198" s="18"/>
    </row>
    <row r="199" spans="5:16" x14ac:dyDescent="0.25">
      <c r="E199" s="2"/>
      <c r="F199" s="3" t="s">
        <v>447</v>
      </c>
      <c r="G199" s="4" t="s">
        <v>53</v>
      </c>
      <c r="H199" s="5" t="s">
        <v>313</v>
      </c>
      <c r="I199" s="101" t="s">
        <v>312</v>
      </c>
      <c r="J199" s="8" t="s">
        <v>5</v>
      </c>
      <c r="K199" s="9">
        <v>100</v>
      </c>
      <c r="L199" s="10">
        <v>4.74</v>
      </c>
      <c r="M199" s="11">
        <f t="shared" si="83"/>
        <v>6.0126900000000001</v>
      </c>
      <c r="N199" s="13">
        <f t="shared" si="85"/>
        <v>601.26900000000001</v>
      </c>
      <c r="O199" s="12"/>
      <c r="P199" s="18"/>
    </row>
    <row r="200" spans="5:16" x14ac:dyDescent="0.25">
      <c r="E200" s="2"/>
      <c r="F200" s="3" t="s">
        <v>454</v>
      </c>
      <c r="G200" s="4" t="s">
        <v>53</v>
      </c>
      <c r="H200" s="5" t="s">
        <v>315</v>
      </c>
      <c r="I200" s="101" t="s">
        <v>314</v>
      </c>
      <c r="J200" s="8" t="s">
        <v>209</v>
      </c>
      <c r="K200" s="9">
        <v>8</v>
      </c>
      <c r="L200" s="10">
        <v>5.0599999999999996</v>
      </c>
      <c r="M200" s="11">
        <f t="shared" si="83"/>
        <v>6.4186099999999993</v>
      </c>
      <c r="N200" s="13">
        <f t="shared" si="85"/>
        <v>51.348879999999994</v>
      </c>
      <c r="O200" s="12"/>
      <c r="P200" s="18"/>
    </row>
    <row r="201" spans="5:16" ht="23.25" x14ac:dyDescent="0.25">
      <c r="E201" s="2"/>
      <c r="F201" s="3" t="s">
        <v>455</v>
      </c>
      <c r="G201" s="4" t="s">
        <v>53</v>
      </c>
      <c r="H201" s="5" t="s">
        <v>317</v>
      </c>
      <c r="I201" s="101" t="s">
        <v>316</v>
      </c>
      <c r="J201" s="8" t="s">
        <v>295</v>
      </c>
      <c r="K201" s="9">
        <v>8</v>
      </c>
      <c r="L201" s="10">
        <v>1.58</v>
      </c>
      <c r="M201" s="11">
        <f t="shared" si="83"/>
        <v>2.0042300000000002</v>
      </c>
      <c r="N201" s="13">
        <f t="shared" si="85"/>
        <v>16.033840000000001</v>
      </c>
      <c r="O201" s="12"/>
      <c r="P201" s="18"/>
    </row>
    <row r="202" spans="5:16" ht="23.25" x14ac:dyDescent="0.25">
      <c r="E202" s="2"/>
      <c r="F202" s="3" t="s">
        <v>456</v>
      </c>
      <c r="G202" s="4" t="s">
        <v>53</v>
      </c>
      <c r="H202" s="5" t="s">
        <v>319</v>
      </c>
      <c r="I202" s="101" t="s">
        <v>318</v>
      </c>
      <c r="J202" s="8" t="s">
        <v>295</v>
      </c>
      <c r="K202" s="9">
        <v>20</v>
      </c>
      <c r="L202" s="10">
        <v>3.92</v>
      </c>
      <c r="M202" s="11">
        <f t="shared" si="83"/>
        <v>4.9725199999999994</v>
      </c>
      <c r="N202" s="13">
        <f t="shared" si="85"/>
        <v>99.450399999999988</v>
      </c>
      <c r="O202" s="12"/>
      <c r="P202" s="18"/>
    </row>
    <row r="203" spans="5:16" x14ac:dyDescent="0.25">
      <c r="E203" s="2"/>
      <c r="F203" s="3" t="s">
        <v>457</v>
      </c>
      <c r="G203" s="4" t="s">
        <v>53</v>
      </c>
      <c r="H203" s="5" t="s">
        <v>321</v>
      </c>
      <c r="I203" s="101" t="s">
        <v>320</v>
      </c>
      <c r="J203" s="8" t="s">
        <v>295</v>
      </c>
      <c r="K203" s="9">
        <v>8</v>
      </c>
      <c r="L203" s="10">
        <v>6.76</v>
      </c>
      <c r="M203" s="11">
        <f t="shared" si="83"/>
        <v>8.5750599999999988</v>
      </c>
      <c r="N203" s="13">
        <f t="shared" si="85"/>
        <v>68.60047999999999</v>
      </c>
      <c r="O203" s="12"/>
      <c r="P203" s="18"/>
    </row>
    <row r="204" spans="5:16" ht="23.25" x14ac:dyDescent="0.25">
      <c r="E204" s="2"/>
      <c r="F204" s="3" t="s">
        <v>458</v>
      </c>
      <c r="G204" s="4" t="s">
        <v>11</v>
      </c>
      <c r="H204" s="5" t="s">
        <v>325</v>
      </c>
      <c r="I204" s="101" t="s">
        <v>324</v>
      </c>
      <c r="J204" s="8" t="s">
        <v>295</v>
      </c>
      <c r="K204" s="9">
        <v>6</v>
      </c>
      <c r="L204" s="10">
        <v>35.68</v>
      </c>
      <c r="M204" s="11">
        <f t="shared" si="83"/>
        <v>45.260079999999995</v>
      </c>
      <c r="N204" s="13">
        <f t="shared" si="85"/>
        <v>271.56047999999998</v>
      </c>
      <c r="O204" s="12"/>
      <c r="P204" s="18"/>
    </row>
    <row r="205" spans="5:16" x14ac:dyDescent="0.25">
      <c r="E205" s="2"/>
      <c r="F205" s="53" t="s">
        <v>102</v>
      </c>
      <c r="G205" s="54"/>
      <c r="H205" s="58"/>
      <c r="I205" s="128" t="s">
        <v>157</v>
      </c>
      <c r="J205" s="48"/>
      <c r="K205" s="49"/>
      <c r="L205" s="56"/>
      <c r="M205" s="51"/>
      <c r="N205" s="57">
        <f>SUM(N206+N213+N220)</f>
        <v>29419.450610903001</v>
      </c>
      <c r="O205" s="12" t="s">
        <v>31</v>
      </c>
      <c r="P205" s="18" t="s">
        <v>39</v>
      </c>
    </row>
    <row r="206" spans="5:16" x14ac:dyDescent="0.25">
      <c r="E206" s="2"/>
      <c r="F206" s="53"/>
      <c r="G206" s="54"/>
      <c r="H206" s="58"/>
      <c r="I206" s="128" t="s">
        <v>249</v>
      </c>
      <c r="J206" s="48"/>
      <c r="K206" s="49"/>
      <c r="L206" s="56"/>
      <c r="M206" s="51"/>
      <c r="N206" s="57">
        <f>SUM(N208:N212)</f>
        <v>25550.368732971001</v>
      </c>
      <c r="O206" s="12" t="s">
        <v>31</v>
      </c>
      <c r="P206" s="18" t="s">
        <v>39</v>
      </c>
    </row>
    <row r="207" spans="5:16" x14ac:dyDescent="0.25">
      <c r="E207" s="2"/>
      <c r="F207" s="3" t="s">
        <v>103</v>
      </c>
      <c r="G207" s="4"/>
      <c r="H207" s="5"/>
      <c r="I207" s="130" t="s">
        <v>215</v>
      </c>
      <c r="J207" s="8"/>
      <c r="K207" s="9"/>
      <c r="L207" s="10"/>
      <c r="M207" s="11"/>
      <c r="N207" s="13"/>
      <c r="O207" s="12" t="s">
        <v>31</v>
      </c>
      <c r="P207" s="18" t="s">
        <v>39</v>
      </c>
    </row>
    <row r="208" spans="5:16" ht="34.5" x14ac:dyDescent="0.25">
      <c r="E208" s="2"/>
      <c r="F208" s="3" t="s">
        <v>104</v>
      </c>
      <c r="G208" s="4" t="s">
        <v>11</v>
      </c>
      <c r="H208" s="5" t="s">
        <v>159</v>
      </c>
      <c r="I208" s="101" t="s">
        <v>158</v>
      </c>
      <c r="J208" s="8" t="s">
        <v>116</v>
      </c>
      <c r="K208" s="9">
        <f>(539.98+63.51)*0.01</f>
        <v>6.0349000000000004</v>
      </c>
      <c r="L208" s="10">
        <v>564.64</v>
      </c>
      <c r="M208" s="11">
        <f t="shared" ref="M208:M209" si="86">L208*1.2685</f>
        <v>716.24583999999993</v>
      </c>
      <c r="N208" s="13">
        <f t="shared" ref="N208:N209" si="87">M208*K208</f>
        <v>4322.4720198160003</v>
      </c>
      <c r="O208" s="12" t="s">
        <v>31</v>
      </c>
      <c r="P208" s="18" t="s">
        <v>39</v>
      </c>
    </row>
    <row r="209" spans="5:16" ht="45.75" x14ac:dyDescent="0.25">
      <c r="E209" s="2"/>
      <c r="F209" s="3" t="s">
        <v>105</v>
      </c>
      <c r="G209" s="4" t="s">
        <v>11</v>
      </c>
      <c r="H209" s="5" t="s">
        <v>160</v>
      </c>
      <c r="I209" s="101" t="s">
        <v>161</v>
      </c>
      <c r="J209" s="8" t="s">
        <v>116</v>
      </c>
      <c r="K209" s="9">
        <f>(539.98+63.51)*0.01</f>
        <v>6.0349000000000004</v>
      </c>
      <c r="L209" s="10">
        <v>554.70000000000005</v>
      </c>
      <c r="M209" s="11">
        <f t="shared" si="86"/>
        <v>703.63695000000007</v>
      </c>
      <c r="N209" s="13">
        <f t="shared" si="87"/>
        <v>4246.3786295550008</v>
      </c>
      <c r="O209" s="12" t="s">
        <v>31</v>
      </c>
      <c r="P209" s="18" t="s">
        <v>39</v>
      </c>
    </row>
    <row r="210" spans="5:16" x14ac:dyDescent="0.25">
      <c r="E210" s="2"/>
      <c r="F210" s="3" t="s">
        <v>106</v>
      </c>
      <c r="G210" s="4"/>
      <c r="H210" s="5"/>
      <c r="I210" s="130" t="s">
        <v>222</v>
      </c>
      <c r="J210" s="8"/>
      <c r="K210" s="9"/>
      <c r="L210" s="10"/>
      <c r="M210" s="11">
        <f t="shared" ref="M210:M217" si="88">L210*1.2685</f>
        <v>0</v>
      </c>
      <c r="N210" s="13">
        <f t="shared" ref="N210:N217" si="89">M210*K210</f>
        <v>0</v>
      </c>
      <c r="O210" s="12" t="s">
        <v>31</v>
      </c>
      <c r="P210" s="18" t="s">
        <v>39</v>
      </c>
    </row>
    <row r="211" spans="5:16" x14ac:dyDescent="0.25">
      <c r="E211" s="2"/>
      <c r="F211" s="3" t="s">
        <v>459</v>
      </c>
      <c r="G211" s="4" t="s">
        <v>53</v>
      </c>
      <c r="H211" s="7" t="s">
        <v>267</v>
      </c>
      <c r="I211" s="101" t="s">
        <v>266</v>
      </c>
      <c r="J211" s="8" t="s">
        <v>131</v>
      </c>
      <c r="K211" s="9">
        <f>46.16*6</f>
        <v>276.95999999999998</v>
      </c>
      <c r="L211" s="10">
        <v>1.26</v>
      </c>
      <c r="M211" s="11">
        <f t="shared" si="88"/>
        <v>1.5983099999999999</v>
      </c>
      <c r="N211" s="13">
        <f t="shared" si="89"/>
        <v>442.66793759999996</v>
      </c>
      <c r="O211" s="12" t="s">
        <v>31</v>
      </c>
      <c r="P211" s="18" t="s">
        <v>39</v>
      </c>
    </row>
    <row r="212" spans="5:16" ht="45.75" x14ac:dyDescent="0.25">
      <c r="E212" s="2"/>
      <c r="F212" s="3" t="s">
        <v>460</v>
      </c>
      <c r="G212" s="4" t="s">
        <v>11</v>
      </c>
      <c r="H212" s="5" t="s">
        <v>198</v>
      </c>
      <c r="I212" s="101" t="s">
        <v>197</v>
      </c>
      <c r="J212" s="8" t="s">
        <v>147</v>
      </c>
      <c r="K212" s="9">
        <v>178.36</v>
      </c>
      <c r="L212" s="10">
        <v>73.099999999999994</v>
      </c>
      <c r="M212" s="11">
        <f>L212*1.2685</f>
        <v>92.727349999999987</v>
      </c>
      <c r="N212" s="13">
        <f>M212*K212</f>
        <v>16538.850146000001</v>
      </c>
      <c r="O212" s="12" t="s">
        <v>31</v>
      </c>
      <c r="P212" s="18" t="s">
        <v>39</v>
      </c>
    </row>
    <row r="213" spans="5:16" x14ac:dyDescent="0.25">
      <c r="E213" s="2"/>
      <c r="F213" s="53"/>
      <c r="G213" s="54"/>
      <c r="H213" s="58"/>
      <c r="I213" s="128" t="s">
        <v>250</v>
      </c>
      <c r="J213" s="48"/>
      <c r="K213" s="49"/>
      <c r="L213" s="56"/>
      <c r="M213" s="51"/>
      <c r="N213" s="57">
        <f>SUM(N214:N219)</f>
        <v>3567.9667787999997</v>
      </c>
      <c r="O213" s="12" t="s">
        <v>31</v>
      </c>
      <c r="P213" s="18" t="s">
        <v>39</v>
      </c>
    </row>
    <row r="214" spans="5:16" x14ac:dyDescent="0.25">
      <c r="E214" s="2"/>
      <c r="F214" s="3" t="s">
        <v>461</v>
      </c>
      <c r="G214" s="4"/>
      <c r="H214" s="5"/>
      <c r="I214" s="130" t="s">
        <v>215</v>
      </c>
      <c r="J214" s="8"/>
      <c r="K214" s="9"/>
      <c r="L214" s="10"/>
      <c r="M214" s="11"/>
      <c r="N214" s="13"/>
      <c r="O214" s="12" t="s">
        <v>31</v>
      </c>
      <c r="P214" s="18" t="s">
        <v>39</v>
      </c>
    </row>
    <row r="215" spans="5:16" ht="57" x14ac:dyDescent="0.25">
      <c r="E215" s="2"/>
      <c r="F215" s="3" t="s">
        <v>462</v>
      </c>
      <c r="G215" s="4" t="s">
        <v>11</v>
      </c>
      <c r="H215" s="5" t="s">
        <v>207</v>
      </c>
      <c r="I215" s="101" t="s">
        <v>206</v>
      </c>
      <c r="J215" s="8" t="s">
        <v>147</v>
      </c>
      <c r="K215" s="9">
        <v>28.36</v>
      </c>
      <c r="L215" s="10">
        <v>37.159999999999997</v>
      </c>
      <c r="M215" s="11">
        <f t="shared" ref="M215:M216" si="90">L215*1.2685</f>
        <v>47.137459999999997</v>
      </c>
      <c r="N215" s="13">
        <f t="shared" ref="N215:N216" si="91">M215*K215</f>
        <v>1336.8183655999999</v>
      </c>
      <c r="O215" s="12" t="s">
        <v>31</v>
      </c>
      <c r="P215" s="18" t="s">
        <v>39</v>
      </c>
    </row>
    <row r="216" spans="5:16" x14ac:dyDescent="0.25">
      <c r="E216" s="2"/>
      <c r="F216" s="3"/>
      <c r="G216" s="4" t="s">
        <v>11</v>
      </c>
      <c r="H216" s="7" t="s">
        <v>494</v>
      </c>
      <c r="I216" s="101" t="s">
        <v>493</v>
      </c>
      <c r="J216" s="8" t="s">
        <v>147</v>
      </c>
      <c r="K216" s="9">
        <v>28.36</v>
      </c>
      <c r="L216" s="10">
        <v>3.3</v>
      </c>
      <c r="M216" s="11">
        <f t="shared" si="90"/>
        <v>4.1860499999999998</v>
      </c>
      <c r="N216" s="13">
        <f t="shared" si="91"/>
        <v>118.71637799999999</v>
      </c>
      <c r="O216" s="12"/>
      <c r="P216" s="18"/>
    </row>
    <row r="217" spans="5:16" x14ac:dyDescent="0.25">
      <c r="E217" s="2"/>
      <c r="F217" s="3" t="s">
        <v>463</v>
      </c>
      <c r="G217" s="4"/>
      <c r="H217" s="5"/>
      <c r="I217" s="130" t="s">
        <v>222</v>
      </c>
      <c r="J217" s="8"/>
      <c r="K217" s="9"/>
      <c r="L217" s="10"/>
      <c r="M217" s="11">
        <f t="shared" si="88"/>
        <v>0</v>
      </c>
      <c r="N217" s="13">
        <f t="shared" si="89"/>
        <v>0</v>
      </c>
      <c r="O217" s="12" t="s">
        <v>31</v>
      </c>
      <c r="P217" s="18" t="s">
        <v>39</v>
      </c>
    </row>
    <row r="218" spans="5:16" x14ac:dyDescent="0.25">
      <c r="E218" s="2"/>
      <c r="F218" s="3" t="s">
        <v>464</v>
      </c>
      <c r="G218" s="4" t="s">
        <v>53</v>
      </c>
      <c r="H218" s="7" t="s">
        <v>267</v>
      </c>
      <c r="I218" s="101" t="s">
        <v>266</v>
      </c>
      <c r="J218" s="8" t="s">
        <v>131</v>
      </c>
      <c r="K218" s="9">
        <f>28.36*6</f>
        <v>170.16</v>
      </c>
      <c r="L218" s="10">
        <v>1.26</v>
      </c>
      <c r="M218" s="11">
        <f t="shared" ref="M218" si="92">L218*1.2685</f>
        <v>1.5983099999999999</v>
      </c>
      <c r="N218" s="137">
        <f t="shared" ref="N218" si="93">M218*K218</f>
        <v>271.96842959999998</v>
      </c>
      <c r="O218" s="12" t="s">
        <v>31</v>
      </c>
      <c r="P218" s="18" t="s">
        <v>39</v>
      </c>
    </row>
    <row r="219" spans="5:16" ht="34.5" x14ac:dyDescent="0.25">
      <c r="E219" s="2"/>
      <c r="F219" s="3" t="s">
        <v>465</v>
      </c>
      <c r="G219" s="4" t="s">
        <v>11</v>
      </c>
      <c r="H219" s="5" t="s">
        <v>196</v>
      </c>
      <c r="I219" s="101" t="s">
        <v>195</v>
      </c>
      <c r="J219" s="8" t="s">
        <v>147</v>
      </c>
      <c r="K219" s="9">
        <v>28.36</v>
      </c>
      <c r="L219" s="10">
        <v>51.16</v>
      </c>
      <c r="M219" s="11">
        <f>L219*1.2685</f>
        <v>64.89645999999999</v>
      </c>
      <c r="N219" s="13">
        <f>M219*K219</f>
        <v>1840.4636055999997</v>
      </c>
      <c r="O219" s="12" t="s">
        <v>31</v>
      </c>
      <c r="P219" s="18" t="s">
        <v>39</v>
      </c>
    </row>
    <row r="220" spans="5:16" x14ac:dyDescent="0.25">
      <c r="E220" s="2"/>
      <c r="F220" s="53"/>
      <c r="G220" s="54"/>
      <c r="H220" s="58"/>
      <c r="I220" s="128" t="s">
        <v>269</v>
      </c>
      <c r="J220" s="48"/>
      <c r="K220" s="49"/>
      <c r="L220" s="56"/>
      <c r="M220" s="51"/>
      <c r="N220" s="57">
        <f>SUM(N221:N222)</f>
        <v>301.11509913200001</v>
      </c>
      <c r="O220" s="12" t="s">
        <v>31</v>
      </c>
      <c r="P220" s="18" t="s">
        <v>39</v>
      </c>
    </row>
    <row r="221" spans="5:16" ht="34.5" x14ac:dyDescent="0.25">
      <c r="E221" s="2"/>
      <c r="F221" s="3" t="s">
        <v>466</v>
      </c>
      <c r="G221" s="4" t="s">
        <v>11</v>
      </c>
      <c r="H221" s="5" t="s">
        <v>159</v>
      </c>
      <c r="I221" s="101" t="s">
        <v>158</v>
      </c>
      <c r="J221" s="8" t="s">
        <v>116</v>
      </c>
      <c r="K221" s="9">
        <f>28.36*0.005</f>
        <v>0.14180000000000001</v>
      </c>
      <c r="L221" s="10">
        <v>564.64</v>
      </c>
      <c r="M221" s="11">
        <f t="shared" ref="M221:M222" si="94">L221*1.2685</f>
        <v>716.24583999999993</v>
      </c>
      <c r="N221" s="13">
        <f>M221*K221</f>
        <v>101.56366011199999</v>
      </c>
      <c r="O221" s="12"/>
      <c r="P221" s="18"/>
    </row>
    <row r="222" spans="5:16" ht="45.75" x14ac:dyDescent="0.25">
      <c r="E222" s="2"/>
      <c r="F222" s="3" t="s">
        <v>467</v>
      </c>
      <c r="G222" s="4" t="s">
        <v>11</v>
      </c>
      <c r="H222" s="5" t="s">
        <v>160</v>
      </c>
      <c r="I222" s="101" t="s">
        <v>161</v>
      </c>
      <c r="J222" s="8" t="s">
        <v>116</v>
      </c>
      <c r="K222" s="9">
        <f>28.36*0.01</f>
        <v>0.28360000000000002</v>
      </c>
      <c r="L222" s="10">
        <v>554.70000000000005</v>
      </c>
      <c r="M222" s="11">
        <f t="shared" si="94"/>
        <v>703.63695000000007</v>
      </c>
      <c r="N222" s="13">
        <f>M222*K222</f>
        <v>199.55143902000003</v>
      </c>
      <c r="O222" s="12"/>
      <c r="P222" s="18"/>
    </row>
    <row r="223" spans="5:16" x14ac:dyDescent="0.25">
      <c r="E223" s="2"/>
      <c r="F223" s="53" t="s">
        <v>468</v>
      </c>
      <c r="G223" s="54"/>
      <c r="H223" s="58"/>
      <c r="I223" s="128" t="s">
        <v>184</v>
      </c>
      <c r="J223" s="48"/>
      <c r="K223" s="49"/>
      <c r="L223" s="56"/>
      <c r="M223" s="51"/>
      <c r="N223" s="57">
        <f>SUM(N225:N232)</f>
        <v>11948.104171375198</v>
      </c>
      <c r="O223" s="12" t="s">
        <v>31</v>
      </c>
      <c r="P223" s="18" t="s">
        <v>39</v>
      </c>
    </row>
    <row r="224" spans="5:16" x14ac:dyDescent="0.25">
      <c r="E224" s="2"/>
      <c r="F224" s="3" t="s">
        <v>469</v>
      </c>
      <c r="G224" s="4"/>
      <c r="H224" s="7"/>
      <c r="I224" s="130" t="s">
        <v>249</v>
      </c>
      <c r="J224" s="8"/>
      <c r="K224" s="9"/>
      <c r="L224" s="10"/>
      <c r="M224" s="11"/>
      <c r="N224" s="13"/>
      <c r="O224" s="12" t="s">
        <v>31</v>
      </c>
      <c r="P224" s="18" t="s">
        <v>39</v>
      </c>
    </row>
    <row r="225" spans="5:16" ht="23.25" x14ac:dyDescent="0.25">
      <c r="E225" s="2"/>
      <c r="F225" s="3" t="s">
        <v>470</v>
      </c>
      <c r="G225" s="4" t="s">
        <v>11</v>
      </c>
      <c r="H225" s="7" t="s">
        <v>178</v>
      </c>
      <c r="I225" s="101" t="s">
        <v>177</v>
      </c>
      <c r="J225" s="8" t="s">
        <v>147</v>
      </c>
      <c r="K225" s="9">
        <v>448</v>
      </c>
      <c r="L225" s="10">
        <v>2.8</v>
      </c>
      <c r="M225" s="11">
        <f>L225*1.2685</f>
        <v>3.5517999999999996</v>
      </c>
      <c r="N225" s="13">
        <f>M225*K225</f>
        <v>1591.2063999999998</v>
      </c>
      <c r="O225" s="12" t="s">
        <v>31</v>
      </c>
      <c r="P225" s="18" t="s">
        <v>39</v>
      </c>
    </row>
    <row r="226" spans="5:16" x14ac:dyDescent="0.25">
      <c r="E226" s="2"/>
      <c r="F226" s="3" t="s">
        <v>471</v>
      </c>
      <c r="G226" s="4" t="s">
        <v>53</v>
      </c>
      <c r="H226" s="7" t="s">
        <v>180</v>
      </c>
      <c r="I226" s="101" t="s">
        <v>179</v>
      </c>
      <c r="J226" s="8" t="s">
        <v>131</v>
      </c>
      <c r="K226" s="9">
        <f>0.333*(448)</f>
        <v>149.184</v>
      </c>
      <c r="L226" s="10">
        <v>4.84</v>
      </c>
      <c r="M226" s="11">
        <f t="shared" ref="M226:M228" si="95">L226*1.2685</f>
        <v>6.1395399999999993</v>
      </c>
      <c r="N226" s="13">
        <f t="shared" ref="N226:N246" si="96">M226*K226</f>
        <v>915.92113535999988</v>
      </c>
      <c r="O226" s="12" t="s">
        <v>31</v>
      </c>
      <c r="P226" s="18" t="s">
        <v>39</v>
      </c>
    </row>
    <row r="227" spans="5:16" x14ac:dyDescent="0.25">
      <c r="E227" s="2"/>
      <c r="F227" s="3" t="s">
        <v>472</v>
      </c>
      <c r="G227" s="4" t="s">
        <v>53</v>
      </c>
      <c r="H227" s="7" t="s">
        <v>182</v>
      </c>
      <c r="I227" s="101" t="s">
        <v>181</v>
      </c>
      <c r="J227" s="8" t="s">
        <v>183</v>
      </c>
      <c r="K227" s="9">
        <f>0.065*448</f>
        <v>29.12</v>
      </c>
      <c r="L227" s="10">
        <v>16.809999999999999</v>
      </c>
      <c r="M227" s="11">
        <f t="shared" si="95"/>
        <v>21.323484999999998</v>
      </c>
      <c r="N227" s="13">
        <f t="shared" si="96"/>
        <v>620.93988319999994</v>
      </c>
      <c r="O227" s="12" t="s">
        <v>31</v>
      </c>
      <c r="P227" s="18" t="s">
        <v>39</v>
      </c>
    </row>
    <row r="228" spans="5:16" ht="23.25" x14ac:dyDescent="0.25">
      <c r="E228" s="2"/>
      <c r="F228" s="3" t="s">
        <v>473</v>
      </c>
      <c r="G228" s="4" t="s">
        <v>11</v>
      </c>
      <c r="H228" s="7" t="s">
        <v>176</v>
      </c>
      <c r="I228" s="101" t="s">
        <v>175</v>
      </c>
      <c r="J228" s="8" t="s">
        <v>147</v>
      </c>
      <c r="K228" s="9">
        <v>448</v>
      </c>
      <c r="L228" s="10">
        <v>14.22</v>
      </c>
      <c r="M228" s="11">
        <f t="shared" si="95"/>
        <v>18.038070000000001</v>
      </c>
      <c r="N228" s="13">
        <f t="shared" si="96"/>
        <v>8081.0553600000003</v>
      </c>
      <c r="O228" s="12" t="s">
        <v>31</v>
      </c>
      <c r="P228" s="18" t="s">
        <v>39</v>
      </c>
    </row>
    <row r="229" spans="5:16" x14ac:dyDescent="0.25">
      <c r="E229" s="2"/>
      <c r="F229" s="3" t="s">
        <v>474</v>
      </c>
      <c r="G229" s="4"/>
      <c r="H229" s="7"/>
      <c r="I229" s="130" t="s">
        <v>269</v>
      </c>
      <c r="J229" s="8"/>
      <c r="K229" s="9"/>
      <c r="L229" s="10"/>
      <c r="M229" s="11"/>
      <c r="N229" s="13"/>
      <c r="O229" s="12"/>
      <c r="P229" s="18"/>
    </row>
    <row r="230" spans="5:16" ht="23.25" x14ac:dyDescent="0.25">
      <c r="E230" s="2"/>
      <c r="F230" s="3" t="s">
        <v>475</v>
      </c>
      <c r="G230" s="4" t="s">
        <v>11</v>
      </c>
      <c r="H230" s="7" t="s">
        <v>178</v>
      </c>
      <c r="I230" s="101" t="s">
        <v>177</v>
      </c>
      <c r="J230" s="8" t="s">
        <v>147</v>
      </c>
      <c r="K230" s="9">
        <v>28.36</v>
      </c>
      <c r="L230" s="10">
        <v>2.8</v>
      </c>
      <c r="M230" s="11">
        <f t="shared" ref="M230:M232" si="97">L230*1.2685</f>
        <v>3.5517999999999996</v>
      </c>
      <c r="N230" s="13">
        <f t="shared" ref="N230:N232" si="98">M230*K230</f>
        <v>100.72904799999999</v>
      </c>
      <c r="O230" s="12"/>
      <c r="P230" s="18"/>
    </row>
    <row r="231" spans="5:16" ht="23.25" x14ac:dyDescent="0.25">
      <c r="E231" s="2"/>
      <c r="F231" s="3" t="s">
        <v>476</v>
      </c>
      <c r="G231" s="4" t="s">
        <v>11</v>
      </c>
      <c r="H231" s="7" t="s">
        <v>226</v>
      </c>
      <c r="I231" s="101" t="s">
        <v>225</v>
      </c>
      <c r="J231" s="8" t="s">
        <v>147</v>
      </c>
      <c r="K231" s="9">
        <v>28.36</v>
      </c>
      <c r="L231" s="10">
        <v>16.13</v>
      </c>
      <c r="M231" s="11">
        <f t="shared" si="97"/>
        <v>20.460904999999997</v>
      </c>
      <c r="N231" s="13">
        <f t="shared" si="98"/>
        <v>580.27126579999992</v>
      </c>
      <c r="O231" s="12"/>
      <c r="P231" s="18"/>
    </row>
    <row r="232" spans="5:16" x14ac:dyDescent="0.25">
      <c r="E232" s="2"/>
      <c r="F232" s="3" t="s">
        <v>477</v>
      </c>
      <c r="G232" s="4" t="s">
        <v>53</v>
      </c>
      <c r="H232" s="7" t="s">
        <v>180</v>
      </c>
      <c r="I232" s="101" t="s">
        <v>179</v>
      </c>
      <c r="J232" s="8" t="s">
        <v>131</v>
      </c>
      <c r="K232" s="9">
        <f>0.333*(K231)</f>
        <v>9.4438800000000001</v>
      </c>
      <c r="L232" s="10">
        <v>4.84</v>
      </c>
      <c r="M232" s="11">
        <f t="shared" si="97"/>
        <v>6.1395399999999993</v>
      </c>
      <c r="N232" s="13">
        <f t="shared" si="98"/>
        <v>57.981079015199995</v>
      </c>
      <c r="O232" s="12" t="s">
        <v>31</v>
      </c>
      <c r="P232" s="18" t="s">
        <v>39</v>
      </c>
    </row>
    <row r="233" spans="5:16" x14ac:dyDescent="0.25">
      <c r="E233" s="2"/>
      <c r="F233" s="53" t="s">
        <v>478</v>
      </c>
      <c r="G233" s="54"/>
      <c r="H233" s="58"/>
      <c r="I233" s="128" t="s">
        <v>148</v>
      </c>
      <c r="J233" s="48"/>
      <c r="K233" s="49"/>
      <c r="L233" s="56"/>
      <c r="M233" s="51"/>
      <c r="N233" s="57">
        <f>SUM(N234:N238)</f>
        <v>40457.975744549993</v>
      </c>
      <c r="O233" s="12" t="s">
        <v>31</v>
      </c>
      <c r="P233" s="18" t="s">
        <v>39</v>
      </c>
    </row>
    <row r="234" spans="5:16" ht="23.25" x14ac:dyDescent="0.25">
      <c r="E234" s="2"/>
      <c r="F234" s="3" t="s">
        <v>479</v>
      </c>
      <c r="G234" s="4" t="s">
        <v>11</v>
      </c>
      <c r="H234" s="7" t="s">
        <v>194</v>
      </c>
      <c r="I234" s="101" t="s">
        <v>193</v>
      </c>
      <c r="J234" s="8" t="s">
        <v>147</v>
      </c>
      <c r="K234" s="9">
        <f>121.75+(3.4*2.2)</f>
        <v>129.22999999999999</v>
      </c>
      <c r="L234" s="10">
        <v>93.37</v>
      </c>
      <c r="M234" s="11">
        <f>L234*1.2685</f>
        <v>118.43984500000001</v>
      </c>
      <c r="N234" s="13">
        <f>M234*K234</f>
        <v>15305.98116935</v>
      </c>
      <c r="O234" s="12" t="s">
        <v>31</v>
      </c>
      <c r="P234" s="18" t="s">
        <v>39</v>
      </c>
    </row>
    <row r="235" spans="5:16" ht="23.25" x14ac:dyDescent="0.25">
      <c r="E235" s="2"/>
      <c r="F235" s="3" t="s">
        <v>480</v>
      </c>
      <c r="G235" s="4" t="s">
        <v>11</v>
      </c>
      <c r="H235" s="5" t="s">
        <v>288</v>
      </c>
      <c r="I235" s="101" t="s">
        <v>287</v>
      </c>
      <c r="J235" s="8" t="s">
        <v>147</v>
      </c>
      <c r="K235" s="9">
        <f>28.36+(3.4*2.2)</f>
        <v>35.840000000000003</v>
      </c>
      <c r="L235" s="10">
        <v>281.27999999999997</v>
      </c>
      <c r="M235" s="11">
        <f t="shared" ref="M235" si="99">L235*1.2685</f>
        <v>356.80367999999993</v>
      </c>
      <c r="N235" s="13">
        <f t="shared" ref="N235" si="100">M235*K235</f>
        <v>12787.843891199998</v>
      </c>
      <c r="O235" s="12" t="s">
        <v>31</v>
      </c>
      <c r="P235" s="18" t="s">
        <v>39</v>
      </c>
    </row>
    <row r="236" spans="5:16" ht="45.75" x14ac:dyDescent="0.25">
      <c r="E236" s="2"/>
      <c r="F236" s="3" t="s">
        <v>481</v>
      </c>
      <c r="G236" s="4" t="s">
        <v>11</v>
      </c>
      <c r="H236" s="5" t="s">
        <v>189</v>
      </c>
      <c r="I236" s="101" t="s">
        <v>188</v>
      </c>
      <c r="J236" s="8" t="s">
        <v>131</v>
      </c>
      <c r="K236" s="9">
        <f>35.23+205.36+101.25</f>
        <v>341.84000000000003</v>
      </c>
      <c r="L236" s="10">
        <v>19.600000000000001</v>
      </c>
      <c r="M236" s="11">
        <f t="shared" ref="M236:M243" si="101">L236*1.2685</f>
        <v>24.8626</v>
      </c>
      <c r="N236" s="13">
        <f t="shared" ref="N236:N243" si="102">M236*K236</f>
        <v>8499.0311840000013</v>
      </c>
      <c r="O236" s="12" t="s">
        <v>31</v>
      </c>
      <c r="P236" s="18" t="s">
        <v>39</v>
      </c>
    </row>
    <row r="237" spans="5:16" ht="45.75" x14ac:dyDescent="0.25">
      <c r="E237" s="2"/>
      <c r="F237" s="3" t="s">
        <v>482</v>
      </c>
      <c r="G237" s="4" t="s">
        <v>11</v>
      </c>
      <c r="H237" s="7" t="s">
        <v>219</v>
      </c>
      <c r="I237" s="101" t="s">
        <v>218</v>
      </c>
      <c r="J237" s="8" t="s">
        <v>147</v>
      </c>
      <c r="K237" s="9">
        <v>36.774999999999999</v>
      </c>
      <c r="L237" s="10">
        <v>65.599999999999994</v>
      </c>
      <c r="M237" s="11">
        <f t="shared" si="101"/>
        <v>83.213599999999985</v>
      </c>
      <c r="N237" s="13">
        <f t="shared" si="102"/>
        <v>3060.1801399999995</v>
      </c>
      <c r="O237" s="12" t="s">
        <v>31</v>
      </c>
      <c r="P237" s="18" t="s">
        <v>39</v>
      </c>
    </row>
    <row r="238" spans="5:16" ht="34.5" x14ac:dyDescent="0.25">
      <c r="E238" s="2"/>
      <c r="F238" s="3" t="s">
        <v>483</v>
      </c>
      <c r="G238" s="4" t="s">
        <v>11</v>
      </c>
      <c r="H238" s="7" t="s">
        <v>156</v>
      </c>
      <c r="I238" s="101" t="s">
        <v>155</v>
      </c>
      <c r="J238" s="8" t="s">
        <v>5</v>
      </c>
      <c r="K238" s="9">
        <v>8</v>
      </c>
      <c r="L238" s="10">
        <v>79.319999999999993</v>
      </c>
      <c r="M238" s="11">
        <f t="shared" si="101"/>
        <v>100.61741999999998</v>
      </c>
      <c r="N238" s="13">
        <f t="shared" si="102"/>
        <v>804.93935999999985</v>
      </c>
      <c r="O238" s="12" t="s">
        <v>31</v>
      </c>
      <c r="P238" s="18" t="s">
        <v>39</v>
      </c>
    </row>
    <row r="239" spans="5:16" x14ac:dyDescent="0.25">
      <c r="E239" s="2"/>
      <c r="F239" s="53" t="s">
        <v>484</v>
      </c>
      <c r="G239" s="54"/>
      <c r="H239" s="58"/>
      <c r="I239" s="128" t="s">
        <v>208</v>
      </c>
      <c r="J239" s="48"/>
      <c r="K239" s="49"/>
      <c r="L239" s="56"/>
      <c r="M239" s="56"/>
      <c r="N239" s="56">
        <f>SUM(N240:N244)</f>
        <v>16158.676129399999</v>
      </c>
      <c r="O239" s="12" t="s">
        <v>31</v>
      </c>
      <c r="P239" s="18" t="s">
        <v>39</v>
      </c>
    </row>
    <row r="240" spans="5:16" ht="34.5" x14ac:dyDescent="0.25">
      <c r="E240" s="2"/>
      <c r="F240" s="3" t="s">
        <v>485</v>
      </c>
      <c r="G240" s="4" t="s">
        <v>11</v>
      </c>
      <c r="H240" s="7" t="s">
        <v>217</v>
      </c>
      <c r="I240" s="101" t="s">
        <v>216</v>
      </c>
      <c r="J240" s="8" t="s">
        <v>147</v>
      </c>
      <c r="K240" s="9">
        <v>10.92</v>
      </c>
      <c r="L240" s="10">
        <v>892.92</v>
      </c>
      <c r="M240" s="11">
        <f>L240*1.2685</f>
        <v>1132.6690199999998</v>
      </c>
      <c r="N240" s="13">
        <f>M240*K240</f>
        <v>12368.745698399998</v>
      </c>
      <c r="O240" s="12" t="s">
        <v>31</v>
      </c>
      <c r="P240" s="18" t="s">
        <v>39</v>
      </c>
    </row>
    <row r="241" spans="5:16" ht="34.5" x14ac:dyDescent="0.25">
      <c r="E241" s="2"/>
      <c r="F241" s="3" t="s">
        <v>486</v>
      </c>
      <c r="G241" s="4" t="s">
        <v>11</v>
      </c>
      <c r="H241" s="7" t="s">
        <v>279</v>
      </c>
      <c r="I241" s="101" t="s">
        <v>278</v>
      </c>
      <c r="J241" s="8" t="s">
        <v>147</v>
      </c>
      <c r="K241" s="9">
        <v>2.1</v>
      </c>
      <c r="L241" s="10">
        <v>658.88</v>
      </c>
      <c r="M241" s="11">
        <f>L241*1.2685</f>
        <v>835.78927999999996</v>
      </c>
      <c r="N241" s="13">
        <f>M241*K241</f>
        <v>1755.1574880000001</v>
      </c>
      <c r="O241" s="12" t="s">
        <v>31</v>
      </c>
      <c r="P241" s="18" t="s">
        <v>39</v>
      </c>
    </row>
    <row r="242" spans="5:16" ht="23.25" x14ac:dyDescent="0.25">
      <c r="E242" s="2"/>
      <c r="F242" s="3" t="s">
        <v>487</v>
      </c>
      <c r="G242" s="4" t="s">
        <v>11</v>
      </c>
      <c r="H242" s="7" t="s">
        <v>305</v>
      </c>
      <c r="I242" s="101" t="s">
        <v>304</v>
      </c>
      <c r="J242" s="8" t="s">
        <v>209</v>
      </c>
      <c r="K242" s="9">
        <v>4</v>
      </c>
      <c r="L242" s="10">
        <v>307.38</v>
      </c>
      <c r="M242" s="11">
        <f t="shared" si="101"/>
        <v>389.91152999999997</v>
      </c>
      <c r="N242" s="13">
        <f t="shared" si="102"/>
        <v>1559.6461199999999</v>
      </c>
      <c r="O242" s="12" t="s">
        <v>31</v>
      </c>
      <c r="P242" s="18" t="s">
        <v>39</v>
      </c>
    </row>
    <row r="243" spans="5:16" ht="23.25" x14ac:dyDescent="0.25">
      <c r="E243" s="2"/>
      <c r="F243" s="3" t="s">
        <v>488</v>
      </c>
      <c r="G243" s="4" t="s">
        <v>11</v>
      </c>
      <c r="H243" s="7" t="s">
        <v>281</v>
      </c>
      <c r="I243" s="101" t="s">
        <v>280</v>
      </c>
      <c r="J243" s="8" t="s">
        <v>5</v>
      </c>
      <c r="K243" s="9">
        <v>4</v>
      </c>
      <c r="L243" s="10">
        <v>20.48</v>
      </c>
      <c r="M243" s="11">
        <f t="shared" si="101"/>
        <v>25.97888</v>
      </c>
      <c r="N243" s="13">
        <f t="shared" si="102"/>
        <v>103.91552</v>
      </c>
      <c r="O243" s="12" t="s">
        <v>31</v>
      </c>
      <c r="P243" s="18" t="s">
        <v>39</v>
      </c>
    </row>
    <row r="244" spans="5:16" ht="23.25" x14ac:dyDescent="0.25">
      <c r="E244" s="2"/>
      <c r="F244" s="3"/>
      <c r="G244" s="4" t="s">
        <v>11</v>
      </c>
      <c r="H244" s="7" t="s">
        <v>517</v>
      </c>
      <c r="I244" s="101" t="s">
        <v>516</v>
      </c>
      <c r="J244" s="8" t="s">
        <v>5</v>
      </c>
      <c r="K244" s="9">
        <f>1.7+1.7</f>
        <v>3.4</v>
      </c>
      <c r="L244" s="10">
        <v>86.07</v>
      </c>
      <c r="M244" s="11">
        <f t="shared" ref="M244" si="103">L244*1.2685</f>
        <v>109.17979499999998</v>
      </c>
      <c r="N244" s="13">
        <f t="shared" ref="N244" si="104">M244*K244</f>
        <v>371.21130299999993</v>
      </c>
      <c r="O244" s="12"/>
      <c r="P244" s="18"/>
    </row>
    <row r="245" spans="5:16" x14ac:dyDescent="0.25">
      <c r="E245" s="2"/>
      <c r="F245" s="53" t="s">
        <v>489</v>
      </c>
      <c r="G245" s="54"/>
      <c r="H245" s="58"/>
      <c r="I245" s="128" t="s">
        <v>190</v>
      </c>
      <c r="J245" s="48"/>
      <c r="K245" s="49"/>
      <c r="L245" s="56"/>
      <c r="M245" s="51"/>
      <c r="N245" s="57">
        <f>SUM(N246)</f>
        <v>2790.4780124999997</v>
      </c>
      <c r="O245" s="12" t="s">
        <v>31</v>
      </c>
      <c r="P245" s="18" t="s">
        <v>39</v>
      </c>
    </row>
    <row r="246" spans="5:16" x14ac:dyDescent="0.25">
      <c r="E246" s="2"/>
      <c r="F246" s="3" t="s">
        <v>490</v>
      </c>
      <c r="G246" s="4" t="s">
        <v>191</v>
      </c>
      <c r="H246" s="5" t="s">
        <v>505</v>
      </c>
      <c r="I246" s="129" t="s">
        <v>192</v>
      </c>
      <c r="J246" s="8" t="s">
        <v>147</v>
      </c>
      <c r="K246" s="9">
        <v>814.75</v>
      </c>
      <c r="L246" s="10">
        <v>2.7</v>
      </c>
      <c r="M246" s="11">
        <f>L246*1.2685</f>
        <v>3.4249499999999999</v>
      </c>
      <c r="N246" s="13">
        <f t="shared" si="96"/>
        <v>2790.4780124999997</v>
      </c>
      <c r="O246" s="12" t="s">
        <v>31</v>
      </c>
      <c r="P246" s="18" t="s">
        <v>39</v>
      </c>
    </row>
    <row r="247" spans="5:16" s="14" customFormat="1" x14ac:dyDescent="0.25">
      <c r="E247" s="15" t="s">
        <v>85</v>
      </c>
    </row>
    <row r="248" spans="5:16" s="14" customFormat="1" x14ac:dyDescent="0.25">
      <c r="E248" s="15" t="s">
        <v>86</v>
      </c>
    </row>
    <row r="249" spans="5:16" s="14" customFormat="1" x14ac:dyDescent="0.25"/>
    <row r="250" spans="5:16" s="14" customFormat="1" x14ac:dyDescent="0.25">
      <c r="E250" s="15" t="s">
        <v>87</v>
      </c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5:16" s="14" customFormat="1" x14ac:dyDescent="0.25">
      <c r="E251" s="15" t="s">
        <v>88</v>
      </c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5:16" s="14" customFormat="1" x14ac:dyDescent="0.25">
      <c r="E252" s="15" t="s">
        <v>89</v>
      </c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5:16" s="14" customFormat="1" x14ac:dyDescent="0.25">
      <c r="E253" s="15" t="s">
        <v>90</v>
      </c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5:16" s="14" customFormat="1" x14ac:dyDescent="0.25">
      <c r="E254" s="15" t="s">
        <v>91</v>
      </c>
      <c r="F254" s="15"/>
      <c r="G254" s="15"/>
      <c r="H254" s="15"/>
      <c r="I254" s="15"/>
      <c r="J254" s="15"/>
      <c r="K254" s="15"/>
      <c r="L254" s="15"/>
      <c r="M254" s="15" t="s">
        <v>92</v>
      </c>
      <c r="N254" s="102">
        <f ca="1">TODAY()</f>
        <v>44753</v>
      </c>
    </row>
    <row r="255" spans="5:16" s="14" customFormat="1" x14ac:dyDescent="0.25"/>
    <row r="256" spans="5:16" s="14" customFormat="1" x14ac:dyDescent="0.25"/>
    <row r="257" spans="16:16" s="14" customFormat="1" x14ac:dyDescent="0.25">
      <c r="P257" s="15"/>
    </row>
    <row r="258" spans="16:16" s="14" customFormat="1" x14ac:dyDescent="0.25">
      <c r="P258" s="15"/>
    </row>
    <row r="259" spans="16:16" s="14" customFormat="1" x14ac:dyDescent="0.25">
      <c r="P259" s="15"/>
    </row>
    <row r="260" spans="16:16" s="14" customFormat="1" x14ac:dyDescent="0.25">
      <c r="P260" s="15"/>
    </row>
    <row r="261" spans="16:16" s="14" customFormat="1" x14ac:dyDescent="0.25">
      <c r="P261" s="15"/>
    </row>
    <row r="262" spans="16:16" s="14" customFormat="1" x14ac:dyDescent="0.25"/>
    <row r="263" spans="16:16" s="14" customFormat="1" x14ac:dyDescent="0.25"/>
    <row r="264" spans="16:16" s="14" customFormat="1" x14ac:dyDescent="0.25"/>
    <row r="265" spans="16:16" s="14" customFormat="1" x14ac:dyDescent="0.25"/>
    <row r="266" spans="16:16" s="14" customFormat="1" x14ac:dyDescent="0.25"/>
    <row r="267" spans="16:16" s="14" customFormat="1" x14ac:dyDescent="0.25"/>
    <row r="268" spans="16:16" s="14" customFormat="1" x14ac:dyDescent="0.25"/>
    <row r="269" spans="16:16" s="14" customFormat="1" x14ac:dyDescent="0.25"/>
    <row r="270" spans="16:16" s="14" customFormat="1" x14ac:dyDescent="0.25"/>
    <row r="271" spans="16:16" s="14" customFormat="1" x14ac:dyDescent="0.25"/>
    <row r="272" spans="16:16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  <row r="366" s="14" customFormat="1" x14ac:dyDescent="0.25"/>
    <row r="367" s="14" customFormat="1" x14ac:dyDescent="0.25"/>
    <row r="368" s="14" customFormat="1" x14ac:dyDescent="0.25"/>
    <row r="369" s="14" customFormat="1" x14ac:dyDescent="0.25"/>
    <row r="370" s="14" customFormat="1" x14ac:dyDescent="0.25"/>
    <row r="371" s="14" customFormat="1" x14ac:dyDescent="0.25"/>
    <row r="372" s="14" customFormat="1" x14ac:dyDescent="0.25"/>
    <row r="373" s="14" customFormat="1" x14ac:dyDescent="0.25"/>
    <row r="374" s="14" customFormat="1" x14ac:dyDescent="0.25"/>
    <row r="375" s="14" customFormat="1" x14ac:dyDescent="0.25"/>
    <row r="376" s="14" customFormat="1" x14ac:dyDescent="0.25"/>
    <row r="377" s="14" customFormat="1" x14ac:dyDescent="0.25"/>
    <row r="378" s="14" customFormat="1" x14ac:dyDescent="0.25"/>
    <row r="379" s="14" customFormat="1" x14ac:dyDescent="0.25"/>
    <row r="380" s="14" customFormat="1" x14ac:dyDescent="0.25"/>
    <row r="381" s="14" customFormat="1" x14ac:dyDescent="0.25"/>
    <row r="382" s="14" customFormat="1" x14ac:dyDescent="0.25"/>
    <row r="383" s="14" customFormat="1" x14ac:dyDescent="0.25"/>
    <row r="384" s="14" customFormat="1" x14ac:dyDescent="0.25"/>
    <row r="385" s="14" customFormat="1" x14ac:dyDescent="0.25"/>
    <row r="386" s="14" customFormat="1" x14ac:dyDescent="0.25"/>
    <row r="387" s="14" customFormat="1" x14ac:dyDescent="0.25"/>
    <row r="388" s="14" customFormat="1" x14ac:dyDescent="0.25"/>
    <row r="389" s="14" customFormat="1" x14ac:dyDescent="0.25"/>
    <row r="390" s="14" customFormat="1" x14ac:dyDescent="0.25"/>
    <row r="391" s="14" customFormat="1" x14ac:dyDescent="0.25"/>
    <row r="392" s="14" customFormat="1" x14ac:dyDescent="0.25"/>
    <row r="393" s="14" customFormat="1" x14ac:dyDescent="0.25"/>
    <row r="394" s="14" customFormat="1" x14ac:dyDescent="0.25"/>
    <row r="395" s="14" customFormat="1" x14ac:dyDescent="0.25"/>
  </sheetData>
  <phoneticPr fontId="15" type="noConversion"/>
  <conditionalFormatting sqref="G39 J110:M110 G110:H110 G129:G131 J130:L131 H130:H131 J26:M26 G26:H26 J9:M23 G9:H23 G50:H50 J50:M50 J55:M55 G55:H55 M94 G79:H85 G69:H75 J60:L60 G28:H32 J28:M32 M39:M42 J80:M85 J104:L104 J101:M102 G100:H102 L100 L105 J217:M217 G217:H217 J69:L75 G92:H93 J92:M92 J79:L79 M225:M229 G228:H229 J228:L229 M172 G174:G179 M174:M179 J179:L179 H179 J188:M188 G188:H188 G192:H204 J192:L204 M190:M204 G210:H210 J210:M210 G219:H219 J219:M219 G232:H232 J232:M232 G152:H153 J152:M153 M127:M135 G135:H135 J135:L135 G113:H114 J113:M114 G108:H108 J108:M108 G104:H105 J95:M95 G95:H95 G60:H67 J61:M67 J53:M53 G53:H53 M46:M48 M144:M146">
    <cfRule type="expression" dxfId="410" priority="851" stopIfTrue="1">
      <formula>OR($G9="M",$G9="A")</formula>
    </cfRule>
  </conditionalFormatting>
  <conditionalFormatting sqref="F32 F123 F15:F26 F39:F44 F69:F75 F80:F88 F163:F166 F168:F170 F172 F174:F179 F181:F188 F190:F204 F207:F212 F214:F219 F221:F222 F224:F232 F159:F161 F149:F157 F126:F135 F110:F121 F97:F108 F90:F95 F60:F67 F55:F58 F50:F53 F46:F48 F34:F37 F144:F147">
    <cfRule type="expression" dxfId="409" priority="850" stopIfTrue="1">
      <formula>OR($G15="M",$G15="A")</formula>
    </cfRule>
  </conditionalFormatting>
  <conditionalFormatting sqref="F13">
    <cfRule type="expression" dxfId="408" priority="849" stopIfTrue="1">
      <formula>OR($G13="M",$G13="A")</formula>
    </cfRule>
  </conditionalFormatting>
  <conditionalFormatting sqref="I61 I85 I110 I130:I131 I26 I9:I23 I50 I55 I64:I67 I79:I82 I28:I32 I101:I102 I228:I229 I232 I135 I108 I104">
    <cfRule type="expression" dxfId="407" priority="848" stopIfTrue="1">
      <formula>OR($G9="M",$G9="A")</formula>
    </cfRule>
  </conditionalFormatting>
  <conditionalFormatting sqref="O236:P246 O188:P219 O221:P223 O225:P234 O9:P121 O123:P181">
    <cfRule type="expression" dxfId="406" priority="847" stopIfTrue="1">
      <formula>OR($G9="M",$G9="A")</formula>
    </cfRule>
  </conditionalFormatting>
  <conditionalFormatting sqref="N110 N26 N9:N23 N39:N41 N50 N55 N80:N85 N28:N32 N101:N102 N217 N91:N92 N225:N229 N172 N174:N179 N188 N190:N204 N210 N219 N232 N152:N153 N126:N135 N113:N114 N108 N94:N95 N61:N67 N53 N46:N48 N144:N146">
    <cfRule type="expression" dxfId="405" priority="846" stopIfTrue="1">
      <formula>OR($G9="M",$G9="A")</formula>
    </cfRule>
  </conditionalFormatting>
  <conditionalFormatting sqref="J124:M125 G124:H125">
    <cfRule type="expression" dxfId="404" priority="651" stopIfTrue="1">
      <formula>OR($G124="M",$G124="A")</formula>
    </cfRule>
  </conditionalFormatting>
  <conditionalFormatting sqref="F124:F125">
    <cfRule type="expression" dxfId="403" priority="650" stopIfTrue="1">
      <formula>OR($G124="M",$G124="A")</formula>
    </cfRule>
  </conditionalFormatting>
  <conditionalFormatting sqref="I124:I125">
    <cfRule type="expression" dxfId="402" priority="649" stopIfTrue="1">
      <formula>OR($G124="M",$G124="A")</formula>
    </cfRule>
  </conditionalFormatting>
  <conditionalFormatting sqref="N124:N125">
    <cfRule type="expression" dxfId="401" priority="648" stopIfTrue="1">
      <formula>OR($G124="M",$G124="A")</formula>
    </cfRule>
  </conditionalFormatting>
  <conditionalFormatting sqref="J126:M126 J127:L128 G126:H128 M246 M234 M240:M242 M236:M237">
    <cfRule type="expression" dxfId="400" priority="647" stopIfTrue="1">
      <formula>OR($G126="M",$G126="A")</formula>
    </cfRule>
  </conditionalFormatting>
  <conditionalFormatting sqref="F234:F238 F240:F244">
    <cfRule type="expression" dxfId="399" priority="646" stopIfTrue="1">
      <formula>OR($G234="M",$G234="A")</formula>
    </cfRule>
  </conditionalFormatting>
  <conditionalFormatting sqref="I126:I128">
    <cfRule type="expression" dxfId="398" priority="645" stopIfTrue="1">
      <formula>OR($G126="M",$G126="A")</formula>
    </cfRule>
  </conditionalFormatting>
  <conditionalFormatting sqref="N246 N234 N240:N242 N236:N237">
    <cfRule type="expression" dxfId="397" priority="643" stopIfTrue="1">
      <formula>OR($G234="M",$G234="A")</formula>
    </cfRule>
  </conditionalFormatting>
  <conditionalFormatting sqref="J129:L129 H129">
    <cfRule type="expression" dxfId="396" priority="597" stopIfTrue="1">
      <formula>OR($G129="M",$G129="A")</formula>
    </cfRule>
  </conditionalFormatting>
  <conditionalFormatting sqref="I129">
    <cfRule type="expression" dxfId="395" priority="596" stopIfTrue="1">
      <formula>OR($G129="M",$G129="A")</formula>
    </cfRule>
  </conditionalFormatting>
  <conditionalFormatting sqref="H39 J39:L39">
    <cfRule type="expression" dxfId="394" priority="593" stopIfTrue="1">
      <formula>OR($G39="M",$G39="A")</formula>
    </cfRule>
  </conditionalFormatting>
  <conditionalFormatting sqref="I39">
    <cfRule type="expression" dxfId="393" priority="592" stopIfTrue="1">
      <formula>OR($G39="M",$G39="A")</formula>
    </cfRule>
  </conditionalFormatting>
  <conditionalFormatting sqref="J142:M142 G142:H142 G173:H173 J173:M173">
    <cfRule type="expression" dxfId="392" priority="590" stopIfTrue="1">
      <formula>OR($G142="M",$G142="A")</formula>
    </cfRule>
  </conditionalFormatting>
  <conditionalFormatting sqref="F142 F173">
    <cfRule type="expression" dxfId="391" priority="589" stopIfTrue="1">
      <formula>OR($G142="M",$G142="A")</formula>
    </cfRule>
  </conditionalFormatting>
  <conditionalFormatting sqref="I142 I173">
    <cfRule type="expression" dxfId="390" priority="588" stopIfTrue="1">
      <formula>OR($G142="M",$G142="A")</formula>
    </cfRule>
  </conditionalFormatting>
  <conditionalFormatting sqref="N142 N173">
    <cfRule type="expression" dxfId="389" priority="587" stopIfTrue="1">
      <formula>OR($G142="M",$G142="A")</formula>
    </cfRule>
  </conditionalFormatting>
  <conditionalFormatting sqref="H174 J174:L174">
    <cfRule type="expression" dxfId="388" priority="586" stopIfTrue="1">
      <formula>OR($G174="M",$G174="A")</formula>
    </cfRule>
  </conditionalFormatting>
  <conditionalFormatting sqref="G246">
    <cfRule type="expression" dxfId="387" priority="585" stopIfTrue="1">
      <formula>OR($G246="M",$G246="A")</formula>
    </cfRule>
  </conditionalFormatting>
  <conditionalFormatting sqref="F246">
    <cfRule type="expression" dxfId="386" priority="584" stopIfTrue="1">
      <formula>OR($G246="M",$G246="A")</formula>
    </cfRule>
  </conditionalFormatting>
  <conditionalFormatting sqref="H246 J246:L246">
    <cfRule type="expression" dxfId="385" priority="580" stopIfTrue="1">
      <formula>OR($G246="M",$G246="A")</formula>
    </cfRule>
  </conditionalFormatting>
  <conditionalFormatting sqref="G99:H99 J99:M99 J100:K100 M100">
    <cfRule type="expression" dxfId="384" priority="579" stopIfTrue="1">
      <formula>OR($G99="M",$G99="A")</formula>
    </cfRule>
  </conditionalFormatting>
  <conditionalFormatting sqref="I99:I100">
    <cfRule type="expression" dxfId="383" priority="577" stopIfTrue="1">
      <formula>OR($G99="M",$G99="A")</formula>
    </cfRule>
  </conditionalFormatting>
  <conditionalFormatting sqref="N99:N100">
    <cfRule type="expression" dxfId="382" priority="575" stopIfTrue="1">
      <formula>OR($G99="M",$G99="A")</formula>
    </cfRule>
  </conditionalFormatting>
  <conditionalFormatting sqref="J205:M205 G205:H205 G223:H223 J223:M223">
    <cfRule type="expression" dxfId="381" priority="573" stopIfTrue="1">
      <formula>OR($G205="M",$G205="A")</formula>
    </cfRule>
  </conditionalFormatting>
  <conditionalFormatting sqref="F205 F223">
    <cfRule type="expression" dxfId="380" priority="572" stopIfTrue="1">
      <formula>OR($G205="M",$G205="A")</formula>
    </cfRule>
  </conditionalFormatting>
  <conditionalFormatting sqref="I205 I223">
    <cfRule type="expression" dxfId="379" priority="571" stopIfTrue="1">
      <formula>OR($G205="M",$G205="A")</formula>
    </cfRule>
  </conditionalFormatting>
  <conditionalFormatting sqref="N205 N223">
    <cfRule type="expression" dxfId="378" priority="570" stopIfTrue="1">
      <formula>OR($G205="M",$G205="A")</formula>
    </cfRule>
  </conditionalFormatting>
  <conditionalFormatting sqref="G225:H225 J225:L225">
    <cfRule type="expression" dxfId="377" priority="569" stopIfTrue="1">
      <formula>OR($G225="M",$G225="A")</formula>
    </cfRule>
  </conditionalFormatting>
  <conditionalFormatting sqref="I225">
    <cfRule type="expression" dxfId="376" priority="568" stopIfTrue="1">
      <formula>OR($G225="M",$G225="A")</formula>
    </cfRule>
  </conditionalFormatting>
  <conditionalFormatting sqref="G226:H226 J226:L226">
    <cfRule type="expression" dxfId="375" priority="567" stopIfTrue="1">
      <formula>OR($G226="M",$G226="A")</formula>
    </cfRule>
  </conditionalFormatting>
  <conditionalFormatting sqref="I226">
    <cfRule type="expression" dxfId="374" priority="566" stopIfTrue="1">
      <formula>OR($G226="M",$G226="A")</formula>
    </cfRule>
  </conditionalFormatting>
  <conditionalFormatting sqref="G227:H227 J227:L227 G234:H234 J234:L234 J240:L242 G240:H242 J237:L237 G237:H237">
    <cfRule type="expression" dxfId="373" priority="565" stopIfTrue="1">
      <formula>OR($G227="M",$G227="A")</formula>
    </cfRule>
  </conditionalFormatting>
  <conditionalFormatting sqref="I227 I234 I240 I237">
    <cfRule type="expression" dxfId="372" priority="564" stopIfTrue="1">
      <formula>OR($G227="M",$G227="A")</formula>
    </cfRule>
  </conditionalFormatting>
  <conditionalFormatting sqref="J233:M233 G233:H233">
    <cfRule type="expression" dxfId="371" priority="560" stopIfTrue="1">
      <formula>OR($G233="M",$G233="A")</formula>
    </cfRule>
  </conditionalFormatting>
  <conditionalFormatting sqref="F233">
    <cfRule type="expression" dxfId="370" priority="559" stopIfTrue="1">
      <formula>OR($G233="M",$G233="A")</formula>
    </cfRule>
  </conditionalFormatting>
  <conditionalFormatting sqref="I233">
    <cfRule type="expression" dxfId="369" priority="558" stopIfTrue="1">
      <formula>OR($G233="M",$G233="A")</formula>
    </cfRule>
  </conditionalFormatting>
  <conditionalFormatting sqref="N233">
    <cfRule type="expression" dxfId="368" priority="557" stopIfTrue="1">
      <formula>OR($G233="M",$G233="A")</formula>
    </cfRule>
  </conditionalFormatting>
  <conditionalFormatting sqref="J245:M245 G245:H245">
    <cfRule type="expression" dxfId="367" priority="555" stopIfTrue="1">
      <formula>OR($G245="M",$G245="A")</formula>
    </cfRule>
  </conditionalFormatting>
  <conditionalFormatting sqref="F245">
    <cfRule type="expression" dxfId="366" priority="554" stopIfTrue="1">
      <formula>OR($G245="M",$G245="A")</formula>
    </cfRule>
  </conditionalFormatting>
  <conditionalFormatting sqref="I245">
    <cfRule type="expression" dxfId="365" priority="553" stopIfTrue="1">
      <formula>OR($G245="M",$G245="A")</formula>
    </cfRule>
  </conditionalFormatting>
  <conditionalFormatting sqref="N245">
    <cfRule type="expression" dxfId="364" priority="552" stopIfTrue="1">
      <formula>OR($G245="M",$G245="A")</formula>
    </cfRule>
  </conditionalFormatting>
  <conditionalFormatting sqref="M214 G214">
    <cfRule type="expression" dxfId="363" priority="551" stopIfTrue="1">
      <formula>OR($G214="M",$G214="A")</formula>
    </cfRule>
  </conditionalFormatting>
  <conditionalFormatting sqref="N214">
    <cfRule type="expression" dxfId="362" priority="548" stopIfTrue="1">
      <formula>OR($G214="M",$G214="A")</formula>
    </cfRule>
  </conditionalFormatting>
  <conditionalFormatting sqref="G149 G163 G168">
    <cfRule type="expression" dxfId="361" priority="545" stopIfTrue="1">
      <formula>OR($G149="M",$G149="A")</formula>
    </cfRule>
  </conditionalFormatting>
  <conditionalFormatting sqref="J136:M136 G136:H136">
    <cfRule type="expression" dxfId="360" priority="537" stopIfTrue="1">
      <formula>OR($G136="M",$G136="A")</formula>
    </cfRule>
  </conditionalFormatting>
  <conditionalFormatting sqref="F136">
    <cfRule type="expression" dxfId="359" priority="536" stopIfTrue="1">
      <formula>OR($G136="M",$G136="A")</formula>
    </cfRule>
  </conditionalFormatting>
  <conditionalFormatting sqref="I136">
    <cfRule type="expression" dxfId="358" priority="535" stopIfTrue="1">
      <formula>OR($G136="M",$G136="A")</formula>
    </cfRule>
  </conditionalFormatting>
  <conditionalFormatting sqref="N136">
    <cfRule type="expression" dxfId="357" priority="534" stopIfTrue="1">
      <formula>OR($G136="M",$G136="A")</formula>
    </cfRule>
  </conditionalFormatting>
  <conditionalFormatting sqref="G140:G141 M138:M141">
    <cfRule type="expression" dxfId="356" priority="533" stopIfTrue="1">
      <formula>OR($G138="M",$G138="A")</formula>
    </cfRule>
  </conditionalFormatting>
  <conditionalFormatting sqref="N138:N141">
    <cfRule type="expression" dxfId="355" priority="530" stopIfTrue="1">
      <formula>OR($G138="M",$G138="A")</formula>
    </cfRule>
  </conditionalFormatting>
  <conditionalFormatting sqref="J140:L141 H140:H141 K139">
    <cfRule type="expression" dxfId="354" priority="528" stopIfTrue="1">
      <formula>OR($G139="M",$G139="A")</formula>
    </cfRule>
  </conditionalFormatting>
  <conditionalFormatting sqref="I140">
    <cfRule type="expression" dxfId="353" priority="527" stopIfTrue="1">
      <formula>OR($G140="M",$G140="A")</formula>
    </cfRule>
  </conditionalFormatting>
  <conditionalFormatting sqref="M149 M163 M168:M170">
    <cfRule type="expression" dxfId="352" priority="522" stopIfTrue="1">
      <formula>OR($G149="M",$G149="A")</formula>
    </cfRule>
  </conditionalFormatting>
  <conditionalFormatting sqref="N149 N163 N168:N170">
    <cfRule type="expression" dxfId="351" priority="521" stopIfTrue="1">
      <formula>OR($G149="M",$G149="A")</formula>
    </cfRule>
  </conditionalFormatting>
  <conditionalFormatting sqref="H149 J149:L149">
    <cfRule type="expression" dxfId="350" priority="520" stopIfTrue="1">
      <formula>OR($G149="M",$G149="A")</formula>
    </cfRule>
  </conditionalFormatting>
  <conditionalFormatting sqref="I149">
    <cfRule type="expression" dxfId="349" priority="519" stopIfTrue="1">
      <formula>OR($G149="M",$G149="A")</formula>
    </cfRule>
  </conditionalFormatting>
  <conditionalFormatting sqref="H163 J163:L163 J168:L168 H168">
    <cfRule type="expression" dxfId="348" priority="518" stopIfTrue="1">
      <formula>OR($G163="M",$G163="A")</formula>
    </cfRule>
  </conditionalFormatting>
  <conditionalFormatting sqref="I163 I168">
    <cfRule type="expression" dxfId="347" priority="517" stopIfTrue="1">
      <formula>OR($G163="M",$G163="A")</formula>
    </cfRule>
  </conditionalFormatting>
  <conditionalFormatting sqref="H175:H178 J175:L178">
    <cfRule type="expression" dxfId="346" priority="516" stopIfTrue="1">
      <formula>OR($G175="M",$G175="A")</formula>
    </cfRule>
  </conditionalFormatting>
  <conditionalFormatting sqref="I175:I178">
    <cfRule type="expression" dxfId="345" priority="515" stopIfTrue="1">
      <formula>OR($G175="M",$G175="A")</formula>
    </cfRule>
  </conditionalFormatting>
  <conditionalFormatting sqref="G109:H109 J109:M109">
    <cfRule type="expression" dxfId="344" priority="512" stopIfTrue="1">
      <formula>OR($G109="M",$G109="A")</formula>
    </cfRule>
  </conditionalFormatting>
  <conditionalFormatting sqref="F109">
    <cfRule type="expression" dxfId="343" priority="511" stopIfTrue="1">
      <formula>OR($G109="M",$G109="A")</formula>
    </cfRule>
  </conditionalFormatting>
  <conditionalFormatting sqref="I109">
    <cfRule type="expression" dxfId="342" priority="510" stopIfTrue="1">
      <formula>OR($G109="M",$G109="A")</formula>
    </cfRule>
  </conditionalFormatting>
  <conditionalFormatting sqref="N109">
    <cfRule type="expression" dxfId="341" priority="508" stopIfTrue="1">
      <formula>OR($G109="M",$G109="A")</formula>
    </cfRule>
  </conditionalFormatting>
  <conditionalFormatting sqref="G137 M137">
    <cfRule type="expression" dxfId="340" priority="507" stopIfTrue="1">
      <formula>OR($G137="M",$G137="A")</formula>
    </cfRule>
  </conditionalFormatting>
  <conditionalFormatting sqref="F137:F141">
    <cfRule type="expression" dxfId="339" priority="506" stopIfTrue="1">
      <formula>OR($G137="M",$G137="A")</formula>
    </cfRule>
  </conditionalFormatting>
  <conditionalFormatting sqref="N137">
    <cfRule type="expression" dxfId="338" priority="504" stopIfTrue="1">
      <formula>OR($G137="M",$G137="A")</formula>
    </cfRule>
  </conditionalFormatting>
  <conditionalFormatting sqref="H137 J137:L137">
    <cfRule type="expression" dxfId="337" priority="502" stopIfTrue="1">
      <formula>OR($G137="M",$G137="A")</formula>
    </cfRule>
  </conditionalFormatting>
  <conditionalFormatting sqref="I137">
    <cfRule type="expression" dxfId="336" priority="501" stopIfTrue="1">
      <formula>OR($G137="M",$G137="A")</formula>
    </cfRule>
  </conditionalFormatting>
  <conditionalFormatting sqref="I141">
    <cfRule type="expression" dxfId="335" priority="500" stopIfTrue="1">
      <formula>OR($G141="M",$G141="A")</formula>
    </cfRule>
  </conditionalFormatting>
  <conditionalFormatting sqref="J214:L214 H214">
    <cfRule type="expression" dxfId="334" priority="499" stopIfTrue="1">
      <formula>OR($G214="M",$G214="A")</formula>
    </cfRule>
  </conditionalFormatting>
  <conditionalFormatting sqref="G207 M207">
    <cfRule type="expression" dxfId="333" priority="498" stopIfTrue="1">
      <formula>OR($G207="M",$G207="A")</formula>
    </cfRule>
  </conditionalFormatting>
  <conditionalFormatting sqref="N207">
    <cfRule type="expression" dxfId="332" priority="495" stopIfTrue="1">
      <formula>OR($G207="M",$G207="A")</formula>
    </cfRule>
  </conditionalFormatting>
  <conditionalFormatting sqref="H207 J207:L207">
    <cfRule type="expression" dxfId="331" priority="493" stopIfTrue="1">
      <formula>OR($G207="M",$G207="A")</formula>
    </cfRule>
  </conditionalFormatting>
  <conditionalFormatting sqref="G239:H239 J239:N239">
    <cfRule type="expression" dxfId="330" priority="491" stopIfTrue="1">
      <formula>OR($G239="M",$G239="A")</formula>
    </cfRule>
  </conditionalFormatting>
  <conditionalFormatting sqref="F239">
    <cfRule type="expression" dxfId="329" priority="490" stopIfTrue="1">
      <formula>OR($G239="M",$G239="A")</formula>
    </cfRule>
  </conditionalFormatting>
  <conditionalFormatting sqref="I239">
    <cfRule type="expression" dxfId="328" priority="489" stopIfTrue="1">
      <formula>OR($G239="M",$G239="A")</formula>
    </cfRule>
  </conditionalFormatting>
  <conditionalFormatting sqref="G236">
    <cfRule type="expression" dxfId="327" priority="487" stopIfTrue="1">
      <formula>OR($G236="M",$G236="A")</formula>
    </cfRule>
  </conditionalFormatting>
  <conditionalFormatting sqref="J236:L236 H236">
    <cfRule type="expression" dxfId="326" priority="486" stopIfTrue="1">
      <formula>OR($G236="M",$G236="A")</formula>
    </cfRule>
  </conditionalFormatting>
  <conditionalFormatting sqref="G132:H133 J132:L133">
    <cfRule type="expression" dxfId="325" priority="485" stopIfTrue="1">
      <formula>OR($G132="M",$G132="A")</formula>
    </cfRule>
  </conditionalFormatting>
  <conditionalFormatting sqref="I132:I133">
    <cfRule type="expression" dxfId="324" priority="484" stopIfTrue="1">
      <formula>OR($G132="M",$G132="A")</formula>
    </cfRule>
  </conditionalFormatting>
  <conditionalFormatting sqref="G139:H139 J139">
    <cfRule type="expression" dxfId="323" priority="478" stopIfTrue="1">
      <formula>OR($G139="M",$G139="A")</formula>
    </cfRule>
  </conditionalFormatting>
  <conditionalFormatting sqref="I139">
    <cfRule type="expression" dxfId="322" priority="477" stopIfTrue="1">
      <formula>OR($G139="M",$G139="A")</formula>
    </cfRule>
  </conditionalFormatting>
  <conditionalFormatting sqref="L139">
    <cfRule type="expression" dxfId="321" priority="476" stopIfTrue="1">
      <formula>OR($G139="M",$G139="A")</formula>
    </cfRule>
  </conditionalFormatting>
  <conditionalFormatting sqref="G150">
    <cfRule type="expression" dxfId="320" priority="475" stopIfTrue="1">
      <formula>OR($G150="M",$G150="A")</formula>
    </cfRule>
  </conditionalFormatting>
  <conditionalFormatting sqref="M150">
    <cfRule type="expression" dxfId="319" priority="474" stopIfTrue="1">
      <formula>OR($G150="M",$G150="A")</formula>
    </cfRule>
  </conditionalFormatting>
  <conditionalFormatting sqref="N150">
    <cfRule type="expression" dxfId="318" priority="473" stopIfTrue="1">
      <formula>OR($G150="M",$G150="A")</formula>
    </cfRule>
  </conditionalFormatting>
  <conditionalFormatting sqref="H150 J150:L150">
    <cfRule type="expression" dxfId="317" priority="472" stopIfTrue="1">
      <formula>OR($G150="M",$G150="A")</formula>
    </cfRule>
  </conditionalFormatting>
  <conditionalFormatting sqref="I150">
    <cfRule type="expression" dxfId="316" priority="471" stopIfTrue="1">
      <formula>OR($G150="M",$G150="A")</formula>
    </cfRule>
  </conditionalFormatting>
  <conditionalFormatting sqref="G151">
    <cfRule type="expression" dxfId="315" priority="470" stopIfTrue="1">
      <formula>OR($G151="M",$G151="A")</formula>
    </cfRule>
  </conditionalFormatting>
  <conditionalFormatting sqref="M151">
    <cfRule type="expression" dxfId="314" priority="469" stopIfTrue="1">
      <formula>OR($G151="M",$G151="A")</formula>
    </cfRule>
  </conditionalFormatting>
  <conditionalFormatting sqref="N151">
    <cfRule type="expression" dxfId="313" priority="468" stopIfTrue="1">
      <formula>OR($G151="M",$G151="A")</formula>
    </cfRule>
  </conditionalFormatting>
  <conditionalFormatting sqref="H151 J151:L151">
    <cfRule type="expression" dxfId="312" priority="467" stopIfTrue="1">
      <formula>OR($G151="M",$G151="A")</formula>
    </cfRule>
  </conditionalFormatting>
  <conditionalFormatting sqref="I151">
    <cfRule type="expression" dxfId="311" priority="466" stopIfTrue="1">
      <formula>OR($G151="M",$G151="A")</formula>
    </cfRule>
  </conditionalFormatting>
  <conditionalFormatting sqref="G164:G165">
    <cfRule type="expression" dxfId="310" priority="465" stopIfTrue="1">
      <formula>OR($G164="M",$G164="A")</formula>
    </cfRule>
  </conditionalFormatting>
  <conditionalFormatting sqref="M164:M165">
    <cfRule type="expression" dxfId="309" priority="464" stopIfTrue="1">
      <formula>OR($G164="M",$G164="A")</formula>
    </cfRule>
  </conditionalFormatting>
  <conditionalFormatting sqref="N164:N165">
    <cfRule type="expression" dxfId="308" priority="463" stopIfTrue="1">
      <formula>OR($G164="M",$G164="A")</formula>
    </cfRule>
  </conditionalFormatting>
  <conditionalFormatting sqref="H164 J164:L164">
    <cfRule type="expression" dxfId="307" priority="462" stopIfTrue="1">
      <formula>OR($G164="M",$G164="A")</formula>
    </cfRule>
  </conditionalFormatting>
  <conditionalFormatting sqref="I164">
    <cfRule type="expression" dxfId="306" priority="461" stopIfTrue="1">
      <formula>OR($G164="M",$G164="A")</formula>
    </cfRule>
  </conditionalFormatting>
  <conditionalFormatting sqref="H165 J165:L165">
    <cfRule type="expression" dxfId="305" priority="460" stopIfTrue="1">
      <formula>OR($G165="M",$G165="A")</formula>
    </cfRule>
  </conditionalFormatting>
  <conditionalFormatting sqref="G166">
    <cfRule type="expression" dxfId="304" priority="455" stopIfTrue="1">
      <formula>OR($G166="M",$G166="A")</formula>
    </cfRule>
  </conditionalFormatting>
  <conditionalFormatting sqref="M166">
    <cfRule type="expression" dxfId="303" priority="454" stopIfTrue="1">
      <formula>OR($G166="M",$G166="A")</formula>
    </cfRule>
  </conditionalFormatting>
  <conditionalFormatting sqref="N166">
    <cfRule type="expression" dxfId="302" priority="453" stopIfTrue="1">
      <formula>OR($G166="M",$G166="A")</formula>
    </cfRule>
  </conditionalFormatting>
  <conditionalFormatting sqref="H166 J166:L166">
    <cfRule type="expression" dxfId="301" priority="452" stopIfTrue="1">
      <formula>OR($G166="M",$G166="A")</formula>
    </cfRule>
  </conditionalFormatting>
  <conditionalFormatting sqref="M24:M25">
    <cfRule type="expression" dxfId="300" priority="447" stopIfTrue="1">
      <formula>OR($G24="M",$G24="A")</formula>
    </cfRule>
  </conditionalFormatting>
  <conditionalFormatting sqref="N24:N25">
    <cfRule type="expression" dxfId="299" priority="446" stopIfTrue="1">
      <formula>OR($G24="M",$G24="A")</formula>
    </cfRule>
  </conditionalFormatting>
  <conditionalFormatting sqref="G24:H25 J24:L25">
    <cfRule type="expression" dxfId="298" priority="445" stopIfTrue="1">
      <formula>OR($G24="M",$G24="A")</formula>
    </cfRule>
  </conditionalFormatting>
  <conditionalFormatting sqref="I24:I25">
    <cfRule type="expression" dxfId="297" priority="444" stopIfTrue="1">
      <formula>OR($G24="M",$G24="A")</formula>
    </cfRule>
  </conditionalFormatting>
  <conditionalFormatting sqref="G169">
    <cfRule type="expression" dxfId="296" priority="443" stopIfTrue="1">
      <formula>OR($G169="M",$G169="A")</formula>
    </cfRule>
  </conditionalFormatting>
  <conditionalFormatting sqref="H169 J169:L169">
    <cfRule type="expression" dxfId="295" priority="440" stopIfTrue="1">
      <formula>OR($G169="M",$G169="A")</formula>
    </cfRule>
  </conditionalFormatting>
  <conditionalFormatting sqref="J33:M33 G33:H33">
    <cfRule type="expression" dxfId="294" priority="434" stopIfTrue="1">
      <formula>OR($G33="M",$G33="A")</formula>
    </cfRule>
  </conditionalFormatting>
  <conditionalFormatting sqref="F33">
    <cfRule type="expression" dxfId="293" priority="433" stopIfTrue="1">
      <formula>OR($G33="M",$G33="A")</formula>
    </cfRule>
  </conditionalFormatting>
  <conditionalFormatting sqref="I33">
    <cfRule type="expression" dxfId="292" priority="432" stopIfTrue="1">
      <formula>OR($G33="M",$G33="A")</formula>
    </cfRule>
  </conditionalFormatting>
  <conditionalFormatting sqref="N33">
    <cfRule type="expression" dxfId="291" priority="430" stopIfTrue="1">
      <formula>OR($G33="M",$G33="A")</formula>
    </cfRule>
  </conditionalFormatting>
  <conditionalFormatting sqref="G36 M36">
    <cfRule type="expression" dxfId="290" priority="418" stopIfTrue="1">
      <formula>OR($G36="M",$G36="A")</formula>
    </cfRule>
  </conditionalFormatting>
  <conditionalFormatting sqref="N36">
    <cfRule type="expression" dxfId="289" priority="415" stopIfTrue="1">
      <formula>OR($G36="M",$G36="A")</formula>
    </cfRule>
  </conditionalFormatting>
  <conditionalFormatting sqref="H36 J36:L36">
    <cfRule type="expression" dxfId="288" priority="414" stopIfTrue="1">
      <formula>OR($G36="M",$G36="A")</formula>
    </cfRule>
  </conditionalFormatting>
  <conditionalFormatting sqref="I36">
    <cfRule type="expression" dxfId="287" priority="413" stopIfTrue="1">
      <formula>OR($G36="M",$G36="A")</formula>
    </cfRule>
  </conditionalFormatting>
  <conditionalFormatting sqref="G35:H35 J35:M35">
    <cfRule type="expression" dxfId="286" priority="407" stopIfTrue="1">
      <formula>OR($G35="M",$G35="A")</formula>
    </cfRule>
  </conditionalFormatting>
  <conditionalFormatting sqref="I35">
    <cfRule type="expression" dxfId="285" priority="405" stopIfTrue="1">
      <formula>OR($G35="M",$G35="A")</formula>
    </cfRule>
  </conditionalFormatting>
  <conditionalFormatting sqref="N35">
    <cfRule type="expression" dxfId="284" priority="403" stopIfTrue="1">
      <formula>OR($G35="M",$G35="A")</formula>
    </cfRule>
  </conditionalFormatting>
  <conditionalFormatting sqref="G37:H37 J37:M37">
    <cfRule type="expression" dxfId="283" priority="398" stopIfTrue="1">
      <formula>OR($G37="M",$G37="A")</formula>
    </cfRule>
  </conditionalFormatting>
  <conditionalFormatting sqref="N37">
    <cfRule type="expression" dxfId="282" priority="397" stopIfTrue="1">
      <formula>OR($G37="M",$G37="A")</formula>
    </cfRule>
  </conditionalFormatting>
  <conditionalFormatting sqref="G34:H34 J34:M34">
    <cfRule type="expression" dxfId="281" priority="396" stopIfTrue="1">
      <formula>OR($G34="M",$G34="A")</formula>
    </cfRule>
  </conditionalFormatting>
  <conditionalFormatting sqref="I34">
    <cfRule type="expression" dxfId="280" priority="394" stopIfTrue="1">
      <formula>OR($G34="M",$G34="A")</formula>
    </cfRule>
  </conditionalFormatting>
  <conditionalFormatting sqref="N34">
    <cfRule type="expression" dxfId="279" priority="392" stopIfTrue="1">
      <formula>OR($G34="M",$G34="A")</formula>
    </cfRule>
  </conditionalFormatting>
  <conditionalFormatting sqref="J38:M38 G38:H38">
    <cfRule type="expression" dxfId="278" priority="391" stopIfTrue="1">
      <formula>OR($G38="M",$G38="A")</formula>
    </cfRule>
  </conditionalFormatting>
  <conditionalFormatting sqref="F38">
    <cfRule type="expression" dxfId="277" priority="390" stopIfTrue="1">
      <formula>OR($G38="M",$G38="A")</formula>
    </cfRule>
  </conditionalFormatting>
  <conditionalFormatting sqref="I38">
    <cfRule type="expression" dxfId="276" priority="389" stopIfTrue="1">
      <formula>OR($G38="M",$G38="A")</formula>
    </cfRule>
  </conditionalFormatting>
  <conditionalFormatting sqref="N38">
    <cfRule type="expression" dxfId="275" priority="387" stopIfTrue="1">
      <formula>OR($G38="M",$G38="A")</formula>
    </cfRule>
  </conditionalFormatting>
  <conditionalFormatting sqref="G40:H40 J40:L40">
    <cfRule type="expression" dxfId="274" priority="386" stopIfTrue="1">
      <formula>OR($G40="M",$G40="A")</formula>
    </cfRule>
  </conditionalFormatting>
  <conditionalFormatting sqref="I40">
    <cfRule type="expression" dxfId="273" priority="385" stopIfTrue="1">
      <formula>OR($G40="M",$G40="A")</formula>
    </cfRule>
  </conditionalFormatting>
  <conditionalFormatting sqref="G41:H41 J41:L41">
    <cfRule type="expression" dxfId="272" priority="384" stopIfTrue="1">
      <formula>OR($G41="M",$G41="A")</formula>
    </cfRule>
  </conditionalFormatting>
  <conditionalFormatting sqref="I41">
    <cfRule type="expression" dxfId="271" priority="383" stopIfTrue="1">
      <formula>OR($G41="M",$G41="A")</formula>
    </cfRule>
  </conditionalFormatting>
  <conditionalFormatting sqref="G42">
    <cfRule type="expression" dxfId="270" priority="382" stopIfTrue="1">
      <formula>OR($G42="M",$G42="A")</formula>
    </cfRule>
  </conditionalFormatting>
  <conditionalFormatting sqref="N42">
    <cfRule type="expression" dxfId="269" priority="381" stopIfTrue="1">
      <formula>OR($G42="M",$G42="A")</formula>
    </cfRule>
  </conditionalFormatting>
  <conditionalFormatting sqref="H42 J42:L42">
    <cfRule type="expression" dxfId="268" priority="380" stopIfTrue="1">
      <formula>OR($G42="M",$G42="A")</formula>
    </cfRule>
  </conditionalFormatting>
  <conditionalFormatting sqref="I42">
    <cfRule type="expression" dxfId="267" priority="379" stopIfTrue="1">
      <formula>OR($G42="M",$G42="A")</formula>
    </cfRule>
  </conditionalFormatting>
  <conditionalFormatting sqref="G43:H44 J46:L48 G46:H48 J43:M44">
    <cfRule type="expression" dxfId="266" priority="378" stopIfTrue="1">
      <formula>OR($G43="M",$G43="A")</formula>
    </cfRule>
  </conditionalFormatting>
  <conditionalFormatting sqref="N43:N44">
    <cfRule type="expression" dxfId="265" priority="377" stopIfTrue="1">
      <formula>OR($G43="M",$G43="A")</formula>
    </cfRule>
  </conditionalFormatting>
  <conditionalFormatting sqref="J49:M49 G49:H49">
    <cfRule type="expression" dxfId="264" priority="376" stopIfTrue="1">
      <formula>OR($G49="M",$G49="A")</formula>
    </cfRule>
  </conditionalFormatting>
  <conditionalFormatting sqref="F49">
    <cfRule type="expression" dxfId="263" priority="375" stopIfTrue="1">
      <formula>OR($G49="M",$G49="A")</formula>
    </cfRule>
  </conditionalFormatting>
  <conditionalFormatting sqref="I49">
    <cfRule type="expression" dxfId="262" priority="374" stopIfTrue="1">
      <formula>OR($G49="M",$G49="A")</formula>
    </cfRule>
  </conditionalFormatting>
  <conditionalFormatting sqref="N49">
    <cfRule type="expression" dxfId="261" priority="372" stopIfTrue="1">
      <formula>OR($G49="M",$G49="A")</formula>
    </cfRule>
  </conditionalFormatting>
  <conditionalFormatting sqref="G51:H51 J51:M51">
    <cfRule type="expression" dxfId="260" priority="371" stopIfTrue="1">
      <formula>OR($G51="M",$G51="A")</formula>
    </cfRule>
  </conditionalFormatting>
  <conditionalFormatting sqref="I51">
    <cfRule type="expression" dxfId="259" priority="370" stopIfTrue="1">
      <formula>OR($G51="M",$G51="A")</formula>
    </cfRule>
  </conditionalFormatting>
  <conditionalFormatting sqref="N51">
    <cfRule type="expression" dxfId="258" priority="369" stopIfTrue="1">
      <formula>OR($G51="M",$G51="A")</formula>
    </cfRule>
  </conditionalFormatting>
  <conditionalFormatting sqref="J52:M52 G52:H52">
    <cfRule type="expression" dxfId="257" priority="368" stopIfTrue="1">
      <formula>OR($G52="M",$G52="A")</formula>
    </cfRule>
  </conditionalFormatting>
  <conditionalFormatting sqref="N52">
    <cfRule type="expression" dxfId="256" priority="367" stopIfTrue="1">
      <formula>OR($G52="M",$G52="A")</formula>
    </cfRule>
  </conditionalFormatting>
  <conditionalFormatting sqref="J54:M54 G54:H54">
    <cfRule type="expression" dxfId="255" priority="364" stopIfTrue="1">
      <formula>OR($G54="M",$G54="A")</formula>
    </cfRule>
  </conditionalFormatting>
  <conditionalFormatting sqref="F54">
    <cfRule type="expression" dxfId="254" priority="363" stopIfTrue="1">
      <formula>OR($G54="M",$G54="A")</formula>
    </cfRule>
  </conditionalFormatting>
  <conditionalFormatting sqref="I54">
    <cfRule type="expression" dxfId="253" priority="362" stopIfTrue="1">
      <formula>OR($G54="M",$G54="A")</formula>
    </cfRule>
  </conditionalFormatting>
  <conditionalFormatting sqref="N54">
    <cfRule type="expression" dxfId="252" priority="360" stopIfTrue="1">
      <formula>OR($G54="M",$G54="A")</formula>
    </cfRule>
  </conditionalFormatting>
  <conditionalFormatting sqref="G56:H56 J56:M56">
    <cfRule type="expression" dxfId="251" priority="359" stopIfTrue="1">
      <formula>OR($G56="M",$G56="A")</formula>
    </cfRule>
  </conditionalFormatting>
  <conditionalFormatting sqref="I56">
    <cfRule type="expression" dxfId="250" priority="358" stopIfTrue="1">
      <formula>OR($G56="M",$G56="A")</formula>
    </cfRule>
  </conditionalFormatting>
  <conditionalFormatting sqref="N56">
    <cfRule type="expression" dxfId="249" priority="357" stopIfTrue="1">
      <formula>OR($G56="M",$G56="A")</formula>
    </cfRule>
  </conditionalFormatting>
  <conditionalFormatting sqref="J57:M57 G57:H57">
    <cfRule type="expression" dxfId="248" priority="356" stopIfTrue="1">
      <formula>OR($G57="M",$G57="A")</formula>
    </cfRule>
  </conditionalFormatting>
  <conditionalFormatting sqref="N57">
    <cfRule type="expression" dxfId="247" priority="355" stopIfTrue="1">
      <formula>OR($G57="M",$G57="A")</formula>
    </cfRule>
  </conditionalFormatting>
  <conditionalFormatting sqref="G58:H58 J58:M58">
    <cfRule type="expression" dxfId="246" priority="354" stopIfTrue="1">
      <formula>OR($G58="M",$G58="A")</formula>
    </cfRule>
  </conditionalFormatting>
  <conditionalFormatting sqref="N58">
    <cfRule type="expression" dxfId="245" priority="353" stopIfTrue="1">
      <formula>OR($G58="M",$G58="A")</formula>
    </cfRule>
  </conditionalFormatting>
  <conditionalFormatting sqref="G88:H88 J88:L88">
    <cfRule type="expression" dxfId="244" priority="352" stopIfTrue="1">
      <formula>OR($G88="M",$G88="A")</formula>
    </cfRule>
  </conditionalFormatting>
  <conditionalFormatting sqref="J86:M86 G86:H86">
    <cfRule type="expression" dxfId="243" priority="348" stopIfTrue="1">
      <formula>OR($G86="M",$G86="A")</formula>
    </cfRule>
  </conditionalFormatting>
  <conditionalFormatting sqref="I86">
    <cfRule type="expression" dxfId="242" priority="347" stopIfTrue="1">
      <formula>OR($G86="M",$G86="A")</formula>
    </cfRule>
  </conditionalFormatting>
  <conditionalFormatting sqref="N86">
    <cfRule type="expression" dxfId="241" priority="346" stopIfTrue="1">
      <formula>OR($G86="M",$G86="A")</formula>
    </cfRule>
  </conditionalFormatting>
  <conditionalFormatting sqref="J87:M87 G87:H87 M88">
    <cfRule type="expression" dxfId="240" priority="345" stopIfTrue="1">
      <formula>OR($G87="M",$G87="A")</formula>
    </cfRule>
  </conditionalFormatting>
  <conditionalFormatting sqref="N87:N88">
    <cfRule type="expression" dxfId="239" priority="344" stopIfTrue="1">
      <formula>OR($G87="M",$G87="A")</formula>
    </cfRule>
  </conditionalFormatting>
  <conditionalFormatting sqref="J90:K90 M90">
    <cfRule type="expression" dxfId="238" priority="343" stopIfTrue="1">
      <formula>OR($G90="M",$G90="A")</formula>
    </cfRule>
  </conditionalFormatting>
  <conditionalFormatting sqref="I90">
    <cfRule type="expression" dxfId="237" priority="341" stopIfTrue="1">
      <formula>OR($G90="M",$G90="A")</formula>
    </cfRule>
  </conditionalFormatting>
  <conditionalFormatting sqref="N90">
    <cfRule type="expression" dxfId="236" priority="339" stopIfTrue="1">
      <formula>OR($G90="M",$G90="A")</formula>
    </cfRule>
  </conditionalFormatting>
  <conditionalFormatting sqref="G89:H89 J89:M89">
    <cfRule type="expression" dxfId="235" priority="338" stopIfTrue="1">
      <formula>OR($G89="M",$G89="A")</formula>
    </cfRule>
  </conditionalFormatting>
  <conditionalFormatting sqref="F89">
    <cfRule type="expression" dxfId="234" priority="337" stopIfTrue="1">
      <formula>OR($G89="M",$G89="A")</formula>
    </cfRule>
  </conditionalFormatting>
  <conditionalFormatting sqref="I89">
    <cfRule type="expression" dxfId="233" priority="336" stopIfTrue="1">
      <formula>OR($G89="M",$G89="A")</formula>
    </cfRule>
  </conditionalFormatting>
  <conditionalFormatting sqref="N89">
    <cfRule type="expression" dxfId="232" priority="334" stopIfTrue="1">
      <formula>OR($G89="M",$G89="A")</formula>
    </cfRule>
  </conditionalFormatting>
  <conditionalFormatting sqref="L93">
    <cfRule type="expression" dxfId="231" priority="333" stopIfTrue="1">
      <formula>OR($G93="M",$G93="A")</formula>
    </cfRule>
  </conditionalFormatting>
  <conditionalFormatting sqref="J93:K93 M93">
    <cfRule type="expression" dxfId="230" priority="329" stopIfTrue="1">
      <formula>OR($G93="M",$G93="A")</formula>
    </cfRule>
  </conditionalFormatting>
  <conditionalFormatting sqref="I93">
    <cfRule type="expression" dxfId="229" priority="327" stopIfTrue="1">
      <formula>OR($G93="M",$G93="A")</formula>
    </cfRule>
  </conditionalFormatting>
  <conditionalFormatting sqref="N93">
    <cfRule type="expression" dxfId="228" priority="325" stopIfTrue="1">
      <formula>OR($G93="M",$G93="A")</formula>
    </cfRule>
  </conditionalFormatting>
  <conditionalFormatting sqref="J94:L94 G94:H94">
    <cfRule type="expression" dxfId="227" priority="324" stopIfTrue="1">
      <formula>OR($G94="M",$G94="A")</formula>
    </cfRule>
  </conditionalFormatting>
  <conditionalFormatting sqref="G45:H45 J45:N45">
    <cfRule type="expression" dxfId="226" priority="319" stopIfTrue="1">
      <formula>OR($G45="M",$G45="A")</formula>
    </cfRule>
  </conditionalFormatting>
  <conditionalFormatting sqref="F45">
    <cfRule type="expression" dxfId="225" priority="318" stopIfTrue="1">
      <formula>OR($G45="M",$G45="A")</formula>
    </cfRule>
  </conditionalFormatting>
  <conditionalFormatting sqref="I45">
    <cfRule type="expression" dxfId="224" priority="317" stopIfTrue="1">
      <formula>OR($G45="M",$G45="A")</formula>
    </cfRule>
  </conditionalFormatting>
  <conditionalFormatting sqref="G115:H121 J115:M121">
    <cfRule type="expression" dxfId="223" priority="314" stopIfTrue="1">
      <formula>OR($G115="M",$G115="A")</formula>
    </cfRule>
  </conditionalFormatting>
  <conditionalFormatting sqref="I115">
    <cfRule type="expression" dxfId="222" priority="312" stopIfTrue="1">
      <formula>OR($G115="M",$G115="A")</formula>
    </cfRule>
  </conditionalFormatting>
  <conditionalFormatting sqref="N115:N121">
    <cfRule type="expression" dxfId="221" priority="310" stopIfTrue="1">
      <formula>OR($G115="M",$G115="A")</formula>
    </cfRule>
  </conditionalFormatting>
  <conditionalFormatting sqref="J91:M91 G90:H91 L90">
    <cfRule type="expression" dxfId="220" priority="309" stopIfTrue="1">
      <formula>OR($G90="M",$G90="A")</formula>
    </cfRule>
  </conditionalFormatting>
  <conditionalFormatting sqref="I91">
    <cfRule type="expression" dxfId="219" priority="307" stopIfTrue="1">
      <formula>OR($G91="M",$G91="A")</formula>
    </cfRule>
  </conditionalFormatting>
  <conditionalFormatting sqref="I94">
    <cfRule type="expression" dxfId="218" priority="304" stopIfTrue="1">
      <formula>OR($G94="M",$G94="A")</formula>
    </cfRule>
  </conditionalFormatting>
  <conditionalFormatting sqref="J59:M59 G59:H59">
    <cfRule type="expression" dxfId="217" priority="303" stopIfTrue="1">
      <formula>OR($G59="M",$G59="A")</formula>
    </cfRule>
  </conditionalFormatting>
  <conditionalFormatting sqref="F59">
    <cfRule type="expression" dxfId="216" priority="302" stopIfTrue="1">
      <formula>OR($G59="M",$G59="A")</formula>
    </cfRule>
  </conditionalFormatting>
  <conditionalFormatting sqref="I59">
    <cfRule type="expression" dxfId="215" priority="301" stopIfTrue="1">
      <formula>OR($G59="M",$G59="A")</formula>
    </cfRule>
  </conditionalFormatting>
  <conditionalFormatting sqref="N59">
    <cfRule type="expression" dxfId="214" priority="299" stopIfTrue="1">
      <formula>OR($G59="M",$G59="A")</formula>
    </cfRule>
  </conditionalFormatting>
  <conditionalFormatting sqref="G96:H96 J96:M96">
    <cfRule type="expression" dxfId="213" priority="298" stopIfTrue="1">
      <formula>OR($G96="M",$G96="A")</formula>
    </cfRule>
  </conditionalFormatting>
  <conditionalFormatting sqref="F96">
    <cfRule type="expression" dxfId="212" priority="297" stopIfTrue="1">
      <formula>OR($G96="M",$G96="A")</formula>
    </cfRule>
  </conditionalFormatting>
  <conditionalFormatting sqref="I96">
    <cfRule type="expression" dxfId="211" priority="296" stopIfTrue="1">
      <formula>OR($G96="M",$G96="A")</formula>
    </cfRule>
  </conditionalFormatting>
  <conditionalFormatting sqref="N96">
    <cfRule type="expression" dxfId="210" priority="294" stopIfTrue="1">
      <formula>OR($G96="M",$G96="A")</formula>
    </cfRule>
  </conditionalFormatting>
  <conditionalFormatting sqref="J68:M68 G68:H68">
    <cfRule type="expression" dxfId="209" priority="288" stopIfTrue="1">
      <formula>OR($G68="M",$G68="A")</formula>
    </cfRule>
  </conditionalFormatting>
  <conditionalFormatting sqref="F68">
    <cfRule type="expression" dxfId="208" priority="287" stopIfTrue="1">
      <formula>OR($G68="M",$G68="A")</formula>
    </cfRule>
  </conditionalFormatting>
  <conditionalFormatting sqref="I68">
    <cfRule type="expression" dxfId="207" priority="286" stopIfTrue="1">
      <formula>OR($G68="M",$G68="A")</formula>
    </cfRule>
  </conditionalFormatting>
  <conditionalFormatting sqref="N68">
    <cfRule type="expression" dxfId="206" priority="284" stopIfTrue="1">
      <formula>OR($G68="M",$G68="A")</formula>
    </cfRule>
  </conditionalFormatting>
  <conditionalFormatting sqref="F77:F79">
    <cfRule type="expression" dxfId="205" priority="282" stopIfTrue="1">
      <formula>OR($G77="M",$G77="A")</formula>
    </cfRule>
  </conditionalFormatting>
  <conditionalFormatting sqref="J76:M76 G76:H76">
    <cfRule type="expression" dxfId="204" priority="278" stopIfTrue="1">
      <formula>OR($G76="M",$G76="A")</formula>
    </cfRule>
  </conditionalFormatting>
  <conditionalFormatting sqref="F76">
    <cfRule type="expression" dxfId="203" priority="277" stopIfTrue="1">
      <formula>OR($G76="M",$G76="A")</formula>
    </cfRule>
  </conditionalFormatting>
  <conditionalFormatting sqref="I76">
    <cfRule type="expression" dxfId="202" priority="276" stopIfTrue="1">
      <formula>OR($G76="M",$G76="A")</formula>
    </cfRule>
  </conditionalFormatting>
  <conditionalFormatting sqref="N76">
    <cfRule type="expression" dxfId="201" priority="274" stopIfTrue="1">
      <formula>OR($G76="M",$G76="A")</formula>
    </cfRule>
  </conditionalFormatting>
  <conditionalFormatting sqref="M60">
    <cfRule type="expression" dxfId="200" priority="273" stopIfTrue="1">
      <formula>OR($G60="M",$G60="A")</formula>
    </cfRule>
  </conditionalFormatting>
  <conditionalFormatting sqref="N60">
    <cfRule type="expression" dxfId="199" priority="272" stopIfTrue="1">
      <formula>OR($G60="M",$G60="A")</formula>
    </cfRule>
  </conditionalFormatting>
  <conditionalFormatting sqref="J27:M27 G27:H27">
    <cfRule type="expression" dxfId="198" priority="271" stopIfTrue="1">
      <formula>OR($G27="M",$G27="A")</formula>
    </cfRule>
  </conditionalFormatting>
  <conditionalFormatting sqref="F27:F31">
    <cfRule type="expression" dxfId="197" priority="270" stopIfTrue="1">
      <formula>OR($G27="M",$G27="A")</formula>
    </cfRule>
  </conditionalFormatting>
  <conditionalFormatting sqref="I27">
    <cfRule type="expression" dxfId="196" priority="269" stopIfTrue="1">
      <formula>OR($G27="M",$G27="A")</formula>
    </cfRule>
  </conditionalFormatting>
  <conditionalFormatting sqref="N27">
    <cfRule type="expression" dxfId="195" priority="267" stopIfTrue="1">
      <formula>OR($G27="M",$G27="A")</formula>
    </cfRule>
  </conditionalFormatting>
  <conditionalFormatting sqref="G97:H97 J97:M97">
    <cfRule type="expression" dxfId="194" priority="266" stopIfTrue="1">
      <formula>OR($G97="M",$G97="A")</formula>
    </cfRule>
  </conditionalFormatting>
  <conditionalFormatting sqref="N97">
    <cfRule type="expression" dxfId="193" priority="265" stopIfTrue="1">
      <formula>OR($G97="M",$G97="A")</formula>
    </cfRule>
  </conditionalFormatting>
  <conditionalFormatting sqref="G98:H98 J98:M98">
    <cfRule type="expression" dxfId="192" priority="264" stopIfTrue="1">
      <formula>OR($G98="M",$G98="A")</formula>
    </cfRule>
  </conditionalFormatting>
  <conditionalFormatting sqref="N98">
    <cfRule type="expression" dxfId="191" priority="263" stopIfTrue="1">
      <formula>OR($G98="M",$G98="A")</formula>
    </cfRule>
  </conditionalFormatting>
  <conditionalFormatting sqref="J105:K105 M105">
    <cfRule type="expression" dxfId="190" priority="262" stopIfTrue="1">
      <formula>OR($G105="M",$G105="A")</formula>
    </cfRule>
  </conditionalFormatting>
  <conditionalFormatting sqref="I105">
    <cfRule type="expression" dxfId="189" priority="260" stopIfTrue="1">
      <formula>OR($G105="M",$G105="A")</formula>
    </cfRule>
  </conditionalFormatting>
  <conditionalFormatting sqref="N105">
    <cfRule type="expression" dxfId="188" priority="258" stopIfTrue="1">
      <formula>OR($G105="M",$G105="A")</formula>
    </cfRule>
  </conditionalFormatting>
  <conditionalFormatting sqref="G107:H107 J107:M107">
    <cfRule type="expression" dxfId="187" priority="257" stopIfTrue="1">
      <formula>OR($G107="M",$G107="A")</formula>
    </cfRule>
  </conditionalFormatting>
  <conditionalFormatting sqref="I107">
    <cfRule type="expression" dxfId="186" priority="255" stopIfTrue="1">
      <formula>OR($G107="M",$G107="A")</formula>
    </cfRule>
  </conditionalFormatting>
  <conditionalFormatting sqref="N107">
    <cfRule type="expression" dxfId="185" priority="253" stopIfTrue="1">
      <formula>OR($G107="M",$G107="A")</formula>
    </cfRule>
  </conditionalFormatting>
  <conditionalFormatting sqref="G106:H106 J106:M106">
    <cfRule type="expression" dxfId="184" priority="244" stopIfTrue="1">
      <formula>OR($G106="M",$G106="A")</formula>
    </cfRule>
  </conditionalFormatting>
  <conditionalFormatting sqref="I106">
    <cfRule type="expression" dxfId="183" priority="243" stopIfTrue="1">
      <formula>OR($G106="M",$G106="A")</formula>
    </cfRule>
  </conditionalFormatting>
  <conditionalFormatting sqref="N106">
    <cfRule type="expression" dxfId="182" priority="242" stopIfTrue="1">
      <formula>OR($G106="M",$G106="A")</formula>
    </cfRule>
  </conditionalFormatting>
  <conditionalFormatting sqref="M104">
    <cfRule type="expression" dxfId="181" priority="233" stopIfTrue="1">
      <formula>OR($G104="M",$G104="A")</formula>
    </cfRule>
  </conditionalFormatting>
  <conditionalFormatting sqref="N104">
    <cfRule type="expression" dxfId="180" priority="232" stopIfTrue="1">
      <formula>OR($G104="M",$G104="A")</formula>
    </cfRule>
  </conditionalFormatting>
  <conditionalFormatting sqref="G103:H103 J103:L103">
    <cfRule type="expression" dxfId="179" priority="231" stopIfTrue="1">
      <formula>OR($G103="M",$G103="A")</formula>
    </cfRule>
  </conditionalFormatting>
  <conditionalFormatting sqref="I103">
    <cfRule type="expression" dxfId="178" priority="230" stopIfTrue="1">
      <formula>OR($G103="M",$G103="A")</formula>
    </cfRule>
  </conditionalFormatting>
  <conditionalFormatting sqref="M103">
    <cfRule type="expression" dxfId="177" priority="229" stopIfTrue="1">
      <formula>OR($G103="M",$G103="A")</formula>
    </cfRule>
  </conditionalFormatting>
  <conditionalFormatting sqref="N103">
    <cfRule type="expression" dxfId="176" priority="228" stopIfTrue="1">
      <formula>OR($G103="M",$G103="A")</formula>
    </cfRule>
  </conditionalFormatting>
  <conditionalFormatting sqref="G134:H134 J134:L134">
    <cfRule type="expression" dxfId="175" priority="227" stopIfTrue="1">
      <formula>OR($G134="M",$G134="A")</formula>
    </cfRule>
  </conditionalFormatting>
  <conditionalFormatting sqref="I134">
    <cfRule type="expression" dxfId="174" priority="226" stopIfTrue="1">
      <formula>OR($G134="M",$G134="A")</formula>
    </cfRule>
  </conditionalFormatting>
  <conditionalFormatting sqref="J143:M143 G143:H143">
    <cfRule type="expression" dxfId="173" priority="224" stopIfTrue="1">
      <formula>OR($G143="M",$G143="A")</formula>
    </cfRule>
  </conditionalFormatting>
  <conditionalFormatting sqref="F143">
    <cfRule type="expression" dxfId="172" priority="223" stopIfTrue="1">
      <formula>OR($G143="M",$G143="A")</formula>
    </cfRule>
  </conditionalFormatting>
  <conditionalFormatting sqref="I143">
    <cfRule type="expression" dxfId="171" priority="222" stopIfTrue="1">
      <formula>OR($G143="M",$G143="A")</formula>
    </cfRule>
  </conditionalFormatting>
  <conditionalFormatting sqref="N143">
    <cfRule type="expression" dxfId="170" priority="221" stopIfTrue="1">
      <formula>OR($G143="M",$G143="A")</formula>
    </cfRule>
  </conditionalFormatting>
  <conditionalFormatting sqref="J148:M148 G148:H148">
    <cfRule type="expression" dxfId="169" priority="205" stopIfTrue="1">
      <formula>OR($G148="M",$G148="A")</formula>
    </cfRule>
  </conditionalFormatting>
  <conditionalFormatting sqref="F148">
    <cfRule type="expression" dxfId="168" priority="204" stopIfTrue="1">
      <formula>OR($G148="M",$G148="A")</formula>
    </cfRule>
  </conditionalFormatting>
  <conditionalFormatting sqref="I148">
    <cfRule type="expression" dxfId="167" priority="203" stopIfTrue="1">
      <formula>OR($G148="M",$G148="A")</formula>
    </cfRule>
  </conditionalFormatting>
  <conditionalFormatting sqref="N148">
    <cfRule type="expression" dxfId="166" priority="202" stopIfTrue="1">
      <formula>OR($G148="M",$G148="A")</formula>
    </cfRule>
  </conditionalFormatting>
  <conditionalFormatting sqref="J162:M162 G162:H162">
    <cfRule type="expression" dxfId="165" priority="196" stopIfTrue="1">
      <formula>OR($G162="M",$G162="A")</formula>
    </cfRule>
  </conditionalFormatting>
  <conditionalFormatting sqref="F162">
    <cfRule type="expression" dxfId="164" priority="195" stopIfTrue="1">
      <formula>OR($G162="M",$G162="A")</formula>
    </cfRule>
  </conditionalFormatting>
  <conditionalFormatting sqref="I162">
    <cfRule type="expression" dxfId="163" priority="194" stopIfTrue="1">
      <formula>OR($G162="M",$G162="A")</formula>
    </cfRule>
  </conditionalFormatting>
  <conditionalFormatting sqref="N162">
    <cfRule type="expression" dxfId="162" priority="193" stopIfTrue="1">
      <formula>OR($G162="M",$G162="A")</formula>
    </cfRule>
  </conditionalFormatting>
  <conditionalFormatting sqref="J167:M167 G167:H167">
    <cfRule type="expression" dxfId="161" priority="191" stopIfTrue="1">
      <formula>OR($G167="M",$G167="A")</formula>
    </cfRule>
  </conditionalFormatting>
  <conditionalFormatting sqref="F167">
    <cfRule type="expression" dxfId="160" priority="190" stopIfTrue="1">
      <formula>OR($G167="M",$G167="A")</formula>
    </cfRule>
  </conditionalFormatting>
  <conditionalFormatting sqref="I167">
    <cfRule type="expression" dxfId="159" priority="189" stopIfTrue="1">
      <formula>OR($G167="M",$G167="A")</formula>
    </cfRule>
  </conditionalFormatting>
  <conditionalFormatting sqref="N167">
    <cfRule type="expression" dxfId="158" priority="188" stopIfTrue="1">
      <formula>OR($G167="M",$G167="A")</formula>
    </cfRule>
  </conditionalFormatting>
  <conditionalFormatting sqref="G146">
    <cfRule type="expression" dxfId="157" priority="178" stopIfTrue="1">
      <formula>OR($G146="M",$G146="A")</formula>
    </cfRule>
  </conditionalFormatting>
  <conditionalFormatting sqref="H146 J146:L146">
    <cfRule type="expression" dxfId="156" priority="177" stopIfTrue="1">
      <formula>OR($G146="M",$G146="A")</formula>
    </cfRule>
  </conditionalFormatting>
  <conditionalFormatting sqref="I146">
    <cfRule type="expression" dxfId="155" priority="176" stopIfTrue="1">
      <formula>OR($G146="M",$G146="A")</formula>
    </cfRule>
  </conditionalFormatting>
  <conditionalFormatting sqref="K145:L145">
    <cfRule type="expression" dxfId="154" priority="173" stopIfTrue="1">
      <formula>OR($G145="M",$G145="A")</formula>
    </cfRule>
  </conditionalFormatting>
  <conditionalFormatting sqref="G147">
    <cfRule type="expression" dxfId="152" priority="171" stopIfTrue="1">
      <formula>OR($G147="M",$G147="A")</formula>
    </cfRule>
  </conditionalFormatting>
  <conditionalFormatting sqref="M147">
    <cfRule type="expression" dxfId="151" priority="170" stopIfTrue="1">
      <formula>OR($G147="M",$G147="A")</formula>
    </cfRule>
  </conditionalFormatting>
  <conditionalFormatting sqref="N147">
    <cfRule type="expression" dxfId="150" priority="169" stopIfTrue="1">
      <formula>OR($G147="M",$G147="A")</formula>
    </cfRule>
  </conditionalFormatting>
  <conditionalFormatting sqref="H147 J147:L147">
    <cfRule type="expression" dxfId="149" priority="168" stopIfTrue="1">
      <formula>OR($G147="M",$G147="A")</formula>
    </cfRule>
  </conditionalFormatting>
  <conditionalFormatting sqref="G144:H144 J144:L144">
    <cfRule type="expression" dxfId="148" priority="167" stopIfTrue="1">
      <formula>OR($G144="M",$G144="A")</formula>
    </cfRule>
  </conditionalFormatting>
  <conditionalFormatting sqref="I144">
    <cfRule type="expression" dxfId="147" priority="166" stopIfTrue="1">
      <formula>OR($G144="M",$G144="A")</formula>
    </cfRule>
  </conditionalFormatting>
  <conditionalFormatting sqref="G138:H138 J138:L138">
    <cfRule type="expression" dxfId="146" priority="165" stopIfTrue="1">
      <formula>OR($G138="M",$G138="A")</formula>
    </cfRule>
  </conditionalFormatting>
  <conditionalFormatting sqref="I138">
    <cfRule type="expression" dxfId="145" priority="164" stopIfTrue="1">
      <formula>OR($G138="M",$G138="A")</formula>
    </cfRule>
  </conditionalFormatting>
  <conditionalFormatting sqref="G170">
    <cfRule type="expression" dxfId="144" priority="163" stopIfTrue="1">
      <formula>OR($G170="M",$G170="A")</formula>
    </cfRule>
  </conditionalFormatting>
  <conditionalFormatting sqref="H170 J170:L170">
    <cfRule type="expression" dxfId="143" priority="162" stopIfTrue="1">
      <formula>OR($G170="M",$G170="A")</formula>
    </cfRule>
  </conditionalFormatting>
  <conditionalFormatting sqref="I170">
    <cfRule type="expression" dxfId="142" priority="161" stopIfTrue="1">
      <formula>OR($G170="M",$G170="A")</formula>
    </cfRule>
  </conditionalFormatting>
  <conditionalFormatting sqref="G172:H172 J172:L172">
    <cfRule type="expression" dxfId="141" priority="160" stopIfTrue="1">
      <formula>OR($G172="M",$G172="A")</formula>
    </cfRule>
  </conditionalFormatting>
  <conditionalFormatting sqref="J171:M171 G171:H171">
    <cfRule type="expression" dxfId="140" priority="158" stopIfTrue="1">
      <formula>OR($G171="M",$G171="A")</formula>
    </cfRule>
  </conditionalFormatting>
  <conditionalFormatting sqref="F171">
    <cfRule type="expression" dxfId="139" priority="157" stopIfTrue="1">
      <formula>OR($G171="M",$G171="A")</formula>
    </cfRule>
  </conditionalFormatting>
  <conditionalFormatting sqref="I171">
    <cfRule type="expression" dxfId="138" priority="156" stopIfTrue="1">
      <formula>OR($G171="M",$G171="A")</formula>
    </cfRule>
  </conditionalFormatting>
  <conditionalFormatting sqref="N171">
    <cfRule type="expression" dxfId="137" priority="155" stopIfTrue="1">
      <formula>OR($G171="M",$G171="A")</formula>
    </cfRule>
  </conditionalFormatting>
  <conditionalFormatting sqref="J206:M206 G206:H206">
    <cfRule type="expression" dxfId="136" priority="153" stopIfTrue="1">
      <formula>OR($G206="M",$G206="A")</formula>
    </cfRule>
  </conditionalFormatting>
  <conditionalFormatting sqref="F206">
    <cfRule type="expression" dxfId="135" priority="152" stopIfTrue="1">
      <formula>OR($G206="M",$G206="A")</formula>
    </cfRule>
  </conditionalFormatting>
  <conditionalFormatting sqref="I206">
    <cfRule type="expression" dxfId="134" priority="151" stopIfTrue="1">
      <formula>OR($G206="M",$G206="A")</formula>
    </cfRule>
  </conditionalFormatting>
  <conditionalFormatting sqref="N206">
    <cfRule type="expression" dxfId="133" priority="150" stopIfTrue="1">
      <formula>OR($G206="M",$G206="A")</formula>
    </cfRule>
  </conditionalFormatting>
  <conditionalFormatting sqref="J213:M213 G213:H213">
    <cfRule type="expression" dxfId="132" priority="148" stopIfTrue="1">
      <formula>OR($G213="M",$G213="A")</formula>
    </cfRule>
  </conditionalFormatting>
  <conditionalFormatting sqref="F213">
    <cfRule type="expression" dxfId="131" priority="147" stopIfTrue="1">
      <formula>OR($G213="M",$G213="A")</formula>
    </cfRule>
  </conditionalFormatting>
  <conditionalFormatting sqref="I213">
    <cfRule type="expression" dxfId="130" priority="146" stopIfTrue="1">
      <formula>OR($G213="M",$G213="A")</formula>
    </cfRule>
  </conditionalFormatting>
  <conditionalFormatting sqref="N213">
    <cfRule type="expression" dxfId="129" priority="145" stopIfTrue="1">
      <formula>OR($G213="M",$G213="A")</formula>
    </cfRule>
  </conditionalFormatting>
  <conditionalFormatting sqref="J158:M158 G158:H158">
    <cfRule type="expression" dxfId="128" priority="143" stopIfTrue="1">
      <formula>OR($G158="M",$G158="A")</formula>
    </cfRule>
  </conditionalFormatting>
  <conditionalFormatting sqref="F158">
    <cfRule type="expression" dxfId="127" priority="142" stopIfTrue="1">
      <formula>OR($G158="M",$G158="A")</formula>
    </cfRule>
  </conditionalFormatting>
  <conditionalFormatting sqref="I158">
    <cfRule type="expression" dxfId="126" priority="141" stopIfTrue="1">
      <formula>OR($G158="M",$G158="A")</formula>
    </cfRule>
  </conditionalFormatting>
  <conditionalFormatting sqref="N158">
    <cfRule type="expression" dxfId="125" priority="140" stopIfTrue="1">
      <formula>OR($G158="M",$G158="A")</formula>
    </cfRule>
  </conditionalFormatting>
  <conditionalFormatting sqref="J159:L161 G159:H161">
    <cfRule type="expression" dxfId="124" priority="139" stopIfTrue="1">
      <formula>OR($G159="M",$G159="A")</formula>
    </cfRule>
  </conditionalFormatting>
  <conditionalFormatting sqref="M159:M161">
    <cfRule type="expression" dxfId="123" priority="138" stopIfTrue="1">
      <formula>OR($G159="M",$G159="A")</formula>
    </cfRule>
  </conditionalFormatting>
  <conditionalFormatting sqref="N159:N161">
    <cfRule type="expression" dxfId="122" priority="137" stopIfTrue="1">
      <formula>OR($G159="M",$G159="A")</formula>
    </cfRule>
  </conditionalFormatting>
  <conditionalFormatting sqref="G208 M208">
    <cfRule type="expression" dxfId="121" priority="133" stopIfTrue="1">
      <formula>OR($G208="M",$G208="A")</formula>
    </cfRule>
  </conditionalFormatting>
  <conditionalFormatting sqref="N208">
    <cfRule type="expression" dxfId="120" priority="132" stopIfTrue="1">
      <formula>OR($G208="M",$G208="A")</formula>
    </cfRule>
  </conditionalFormatting>
  <conditionalFormatting sqref="H208 J208:L208">
    <cfRule type="expression" dxfId="119" priority="131" stopIfTrue="1">
      <formula>OR($G208="M",$G208="A")</formula>
    </cfRule>
  </conditionalFormatting>
  <conditionalFormatting sqref="G209 M209">
    <cfRule type="expression" dxfId="118" priority="130" stopIfTrue="1">
      <formula>OR($G209="M",$G209="A")</formula>
    </cfRule>
  </conditionalFormatting>
  <conditionalFormatting sqref="N209">
    <cfRule type="expression" dxfId="117" priority="129" stopIfTrue="1">
      <formula>OR($G209="M",$G209="A")</formula>
    </cfRule>
  </conditionalFormatting>
  <conditionalFormatting sqref="H209 J209:L209">
    <cfRule type="expression" dxfId="116" priority="128" stopIfTrue="1">
      <formula>OR($G209="M",$G209="A")</formula>
    </cfRule>
  </conditionalFormatting>
  <conditionalFormatting sqref="G212 M212">
    <cfRule type="expression" dxfId="115" priority="127" stopIfTrue="1">
      <formula>OR($G212="M",$G212="A")</formula>
    </cfRule>
  </conditionalFormatting>
  <conditionalFormatting sqref="N212">
    <cfRule type="expression" dxfId="114" priority="126" stopIfTrue="1">
      <formula>OR($G212="M",$G212="A")</formula>
    </cfRule>
  </conditionalFormatting>
  <conditionalFormatting sqref="H212 J212:L212">
    <cfRule type="expression" dxfId="113" priority="125" stopIfTrue="1">
      <formula>OR($G212="M",$G212="A")</formula>
    </cfRule>
  </conditionalFormatting>
  <conditionalFormatting sqref="G215 M215">
    <cfRule type="expression" dxfId="112" priority="124" stopIfTrue="1">
      <formula>OR($G215="M",$G215="A")</formula>
    </cfRule>
  </conditionalFormatting>
  <conditionalFormatting sqref="N215">
    <cfRule type="expression" dxfId="111" priority="123" stopIfTrue="1">
      <formula>OR($G215="M",$G215="A")</formula>
    </cfRule>
  </conditionalFormatting>
  <conditionalFormatting sqref="H215 J215:L215">
    <cfRule type="expression" dxfId="110" priority="122" stopIfTrue="1">
      <formula>OR($G215="M",$G215="A")</formula>
    </cfRule>
  </conditionalFormatting>
  <conditionalFormatting sqref="J211:M211 G211:H211">
    <cfRule type="expression" dxfId="109" priority="118" stopIfTrue="1">
      <formula>OR($G211="M",$G211="A")</formula>
    </cfRule>
  </conditionalFormatting>
  <conditionalFormatting sqref="I211">
    <cfRule type="expression" dxfId="108" priority="117" stopIfTrue="1">
      <formula>OR($G211="M",$G211="A")</formula>
    </cfRule>
  </conditionalFormatting>
  <conditionalFormatting sqref="N211">
    <cfRule type="expression" dxfId="107" priority="116" stopIfTrue="1">
      <formula>OR($G211="M",$G211="A")</formula>
    </cfRule>
  </conditionalFormatting>
  <conditionalFormatting sqref="M218">
    <cfRule type="expression" dxfId="106" priority="115" stopIfTrue="1">
      <formula>OR($G218="M",$G218="A")</formula>
    </cfRule>
  </conditionalFormatting>
  <conditionalFormatting sqref="N218">
    <cfRule type="expression" dxfId="105" priority="114" stopIfTrue="1">
      <formula>OR($G218="M",$G218="A")</formula>
    </cfRule>
  </conditionalFormatting>
  <conditionalFormatting sqref="J218:L218 G218:H218">
    <cfRule type="expression" dxfId="104" priority="113" stopIfTrue="1">
      <formula>OR($G218="M",$G218="A")</formula>
    </cfRule>
  </conditionalFormatting>
  <conditionalFormatting sqref="I218">
    <cfRule type="expression" dxfId="103" priority="112" stopIfTrue="1">
      <formula>OR($G218="M",$G218="A")</formula>
    </cfRule>
  </conditionalFormatting>
  <conditionalFormatting sqref="J180:M180 G180:H180">
    <cfRule type="expression" dxfId="102" priority="110" stopIfTrue="1">
      <formula>OR($G180="M",$G180="A")</formula>
    </cfRule>
  </conditionalFormatting>
  <conditionalFormatting sqref="F180">
    <cfRule type="expression" dxfId="101" priority="109" stopIfTrue="1">
      <formula>OR($G180="M",$G180="A")</formula>
    </cfRule>
  </conditionalFormatting>
  <conditionalFormatting sqref="I180">
    <cfRule type="expression" dxfId="100" priority="108" stopIfTrue="1">
      <formula>OR($G180="M",$G180="A")</formula>
    </cfRule>
  </conditionalFormatting>
  <conditionalFormatting sqref="N180">
    <cfRule type="expression" dxfId="99" priority="107" stopIfTrue="1">
      <formula>OR($G180="M",$G180="A")</formula>
    </cfRule>
  </conditionalFormatting>
  <conditionalFormatting sqref="J189:M189 G189:H189">
    <cfRule type="expression" dxfId="98" priority="105" stopIfTrue="1">
      <formula>OR($G189="M",$G189="A")</formula>
    </cfRule>
  </conditionalFormatting>
  <conditionalFormatting sqref="F189">
    <cfRule type="expression" dxfId="97" priority="104" stopIfTrue="1">
      <formula>OR($G189="M",$G189="A")</formula>
    </cfRule>
  </conditionalFormatting>
  <conditionalFormatting sqref="I189">
    <cfRule type="expression" dxfId="96" priority="103" stopIfTrue="1">
      <formula>OR($G189="M",$G189="A")</formula>
    </cfRule>
  </conditionalFormatting>
  <conditionalFormatting sqref="N189">
    <cfRule type="expression" dxfId="95" priority="102" stopIfTrue="1">
      <formula>OR($G189="M",$G189="A")</formula>
    </cfRule>
  </conditionalFormatting>
  <conditionalFormatting sqref="O220:P220">
    <cfRule type="expression" dxfId="94" priority="101" stopIfTrue="1">
      <formula>OR($G220="M",$G220="A")</formula>
    </cfRule>
  </conditionalFormatting>
  <conditionalFormatting sqref="J220:M220 G220:H220">
    <cfRule type="expression" dxfId="93" priority="100" stopIfTrue="1">
      <formula>OR($G220="M",$G220="A")</formula>
    </cfRule>
  </conditionalFormatting>
  <conditionalFormatting sqref="F220">
    <cfRule type="expression" dxfId="92" priority="99" stopIfTrue="1">
      <formula>OR($G220="M",$G220="A")</formula>
    </cfRule>
  </conditionalFormatting>
  <conditionalFormatting sqref="I220">
    <cfRule type="expression" dxfId="91" priority="98" stopIfTrue="1">
      <formula>OR($G220="M",$G220="A")</formula>
    </cfRule>
  </conditionalFormatting>
  <conditionalFormatting sqref="N220">
    <cfRule type="expression" dxfId="90" priority="97" stopIfTrue="1">
      <formula>OR($G220="M",$G220="A")</formula>
    </cfRule>
  </conditionalFormatting>
  <conditionalFormatting sqref="G221:H221 J221:M221">
    <cfRule type="expression" dxfId="89" priority="96" stopIfTrue="1">
      <formula>OR($G221="M",$G221="A")</formula>
    </cfRule>
  </conditionalFormatting>
  <conditionalFormatting sqref="N221">
    <cfRule type="expression" dxfId="88" priority="95" stopIfTrue="1">
      <formula>OR($G221="M",$G221="A")</formula>
    </cfRule>
  </conditionalFormatting>
  <conditionalFormatting sqref="G222:H222 J222:M222">
    <cfRule type="expression" dxfId="87" priority="94" stopIfTrue="1">
      <formula>OR($G222="M",$G222="A")</formula>
    </cfRule>
  </conditionalFormatting>
  <conditionalFormatting sqref="N222">
    <cfRule type="expression" dxfId="86" priority="93" stopIfTrue="1">
      <formula>OR($G222="M",$G222="A")</formula>
    </cfRule>
  </conditionalFormatting>
  <conditionalFormatting sqref="O224:P224">
    <cfRule type="expression" dxfId="85" priority="92" stopIfTrue="1">
      <formula>OR($G224="M",$G224="A")</formula>
    </cfRule>
  </conditionalFormatting>
  <conditionalFormatting sqref="M224">
    <cfRule type="expression" dxfId="84" priority="91" stopIfTrue="1">
      <formula>OR($G224="M",$G224="A")</formula>
    </cfRule>
  </conditionalFormatting>
  <conditionalFormatting sqref="N224">
    <cfRule type="expression" dxfId="83" priority="89" stopIfTrue="1">
      <formula>OR($G224="M",$G224="A")</formula>
    </cfRule>
  </conditionalFormatting>
  <conditionalFormatting sqref="G224:H224 J224:L224">
    <cfRule type="expression" dxfId="82" priority="88" stopIfTrue="1">
      <formula>OR($G224="M",$G224="A")</formula>
    </cfRule>
  </conditionalFormatting>
  <conditionalFormatting sqref="I224">
    <cfRule type="expression" dxfId="81" priority="87" stopIfTrue="1">
      <formula>OR($G224="M",$G224="A")</formula>
    </cfRule>
  </conditionalFormatting>
  <conditionalFormatting sqref="G231:H231 J231:M231">
    <cfRule type="expression" dxfId="80" priority="86" stopIfTrue="1">
      <formula>OR($G231="M",$G231="A")</formula>
    </cfRule>
  </conditionalFormatting>
  <conditionalFormatting sqref="I231">
    <cfRule type="expression" dxfId="79" priority="85" stopIfTrue="1">
      <formula>OR($G231="M",$G231="A")</formula>
    </cfRule>
  </conditionalFormatting>
  <conditionalFormatting sqref="N231">
    <cfRule type="expression" dxfId="78" priority="84" stopIfTrue="1">
      <formula>OR($G231="M",$G231="A")</formula>
    </cfRule>
  </conditionalFormatting>
  <conditionalFormatting sqref="G230:H230 J230:M230">
    <cfRule type="expression" dxfId="77" priority="80" stopIfTrue="1">
      <formula>OR($G230="M",$G230="A")</formula>
    </cfRule>
  </conditionalFormatting>
  <conditionalFormatting sqref="I230">
    <cfRule type="expression" dxfId="76" priority="79" stopIfTrue="1">
      <formula>OR($G230="M",$G230="A")</formula>
    </cfRule>
  </conditionalFormatting>
  <conditionalFormatting sqref="N230">
    <cfRule type="expression" dxfId="75" priority="78" stopIfTrue="1">
      <formula>OR($G230="M",$G230="A")</formula>
    </cfRule>
  </conditionalFormatting>
  <conditionalFormatting sqref="O235:P235">
    <cfRule type="expression" dxfId="74" priority="77" stopIfTrue="1">
      <formula>OR($G235="M",$G235="A")</formula>
    </cfRule>
  </conditionalFormatting>
  <conditionalFormatting sqref="M235">
    <cfRule type="expression" dxfId="73" priority="76" stopIfTrue="1">
      <formula>OR($G235="M",$G235="A")</formula>
    </cfRule>
  </conditionalFormatting>
  <conditionalFormatting sqref="N235">
    <cfRule type="expression" dxfId="72" priority="74" stopIfTrue="1">
      <formula>OR($G235="M",$G235="A")</formula>
    </cfRule>
  </conditionalFormatting>
  <conditionalFormatting sqref="G235">
    <cfRule type="expression" dxfId="71" priority="73" stopIfTrue="1">
      <formula>OR($G235="M",$G235="A")</formula>
    </cfRule>
  </conditionalFormatting>
  <conditionalFormatting sqref="J235:L235 H235">
    <cfRule type="expression" dxfId="70" priority="72" stopIfTrue="1">
      <formula>OR($G235="M",$G235="A")</formula>
    </cfRule>
  </conditionalFormatting>
  <conditionalFormatting sqref="M69:M75">
    <cfRule type="expression" dxfId="69" priority="71" stopIfTrue="1">
      <formula>OR($G69="M",$G69="A")</formula>
    </cfRule>
  </conditionalFormatting>
  <conditionalFormatting sqref="N69:N75">
    <cfRule type="expression" dxfId="68" priority="70" stopIfTrue="1">
      <formula>OR($G69="M",$G69="A")</formula>
    </cfRule>
  </conditionalFormatting>
  <conditionalFormatting sqref="O186:P187">
    <cfRule type="expression" dxfId="67" priority="69" stopIfTrue="1">
      <formula>OR($G186="M",$G186="A")</formula>
    </cfRule>
  </conditionalFormatting>
  <conditionalFormatting sqref="M187 G187">
    <cfRule type="expression" dxfId="66" priority="68" stopIfTrue="1">
      <formula>OR($G187="M",$G187="A")</formula>
    </cfRule>
  </conditionalFormatting>
  <conditionalFormatting sqref="N187">
    <cfRule type="expression" dxfId="65" priority="66" stopIfTrue="1">
      <formula>OR($G187="M",$G187="A")</formula>
    </cfRule>
  </conditionalFormatting>
  <conditionalFormatting sqref="H187 J187:L187">
    <cfRule type="expression" dxfId="64" priority="65" stopIfTrue="1">
      <formula>OR($G187="M",$G187="A")</formula>
    </cfRule>
  </conditionalFormatting>
  <conditionalFormatting sqref="O184:P185">
    <cfRule type="expression" dxfId="63" priority="64" stopIfTrue="1">
      <formula>OR($G184="M",$G184="A")</formula>
    </cfRule>
  </conditionalFormatting>
  <conditionalFormatting sqref="O182:P183">
    <cfRule type="expression" dxfId="62" priority="59" stopIfTrue="1">
      <formula>OR($G182="M",$G182="A")</formula>
    </cfRule>
  </conditionalFormatting>
  <conditionalFormatting sqref="G181:H186 J181:L186">
    <cfRule type="expression" dxfId="61" priority="54" stopIfTrue="1">
      <formula>OR($G181="M",$G181="A")</formula>
    </cfRule>
  </conditionalFormatting>
  <conditionalFormatting sqref="M181:M186">
    <cfRule type="expression" dxfId="60" priority="53" stopIfTrue="1">
      <formula>OR($G181="M",$G181="A")</formula>
    </cfRule>
  </conditionalFormatting>
  <conditionalFormatting sqref="N181:N186">
    <cfRule type="expression" dxfId="59" priority="52" stopIfTrue="1">
      <formula>OR($G181="M",$G181="A")</formula>
    </cfRule>
  </conditionalFormatting>
  <conditionalFormatting sqref="J191:L191 G191:H191">
    <cfRule type="expression" dxfId="58" priority="49" stopIfTrue="1">
      <formula>OR($G191="M",$G191="A")</formula>
    </cfRule>
  </conditionalFormatting>
  <conditionalFormatting sqref="J190:L190 G190:H190">
    <cfRule type="expression" dxfId="57" priority="48" stopIfTrue="1">
      <formula>OR($G190="M",$G190="A")</formula>
    </cfRule>
  </conditionalFormatting>
  <conditionalFormatting sqref="G77:G78">
    <cfRule type="expression" dxfId="56" priority="45" stopIfTrue="1">
      <formula>OR($G77="M",$G77="A")</formula>
    </cfRule>
  </conditionalFormatting>
  <conditionalFormatting sqref="H77:H78 J77:L78">
    <cfRule type="expression" dxfId="55" priority="44" stopIfTrue="1">
      <formula>OR($G77="M",$G77="A")</formula>
    </cfRule>
  </conditionalFormatting>
  <conditionalFormatting sqref="M77:M79">
    <cfRule type="expression" dxfId="54" priority="43" stopIfTrue="1">
      <formula>OR($G77="M",$G77="A")</formula>
    </cfRule>
  </conditionalFormatting>
  <conditionalFormatting sqref="N77:N79">
    <cfRule type="expression" dxfId="53" priority="42" stopIfTrue="1">
      <formula>OR($G77="M",$G77="A")</formula>
    </cfRule>
  </conditionalFormatting>
  <conditionalFormatting sqref="M123">
    <cfRule type="expression" dxfId="52" priority="41" stopIfTrue="1">
      <formula>OR($G123="M",$G123="A")</formula>
    </cfRule>
  </conditionalFormatting>
  <conditionalFormatting sqref="N123">
    <cfRule type="expression" dxfId="51" priority="40" stopIfTrue="1">
      <formula>OR($G123="M",$G123="A")</formula>
    </cfRule>
  </conditionalFormatting>
  <conditionalFormatting sqref="G123">
    <cfRule type="expression" dxfId="50" priority="39" stopIfTrue="1">
      <formula>OR($G123="M",$G123="A")</formula>
    </cfRule>
  </conditionalFormatting>
  <conditionalFormatting sqref="H123 J123:L123">
    <cfRule type="expression" dxfId="49" priority="38" stopIfTrue="1">
      <formula>OR($G123="M",$G123="A")</formula>
    </cfRule>
  </conditionalFormatting>
  <conditionalFormatting sqref="O122:P122">
    <cfRule type="expression" dxfId="48" priority="37" stopIfTrue="1">
      <formula>OR($G122="M",$G122="A")</formula>
    </cfRule>
  </conditionalFormatting>
  <conditionalFormatting sqref="J122:M122 G122:H122">
    <cfRule type="expression" dxfId="47" priority="36" stopIfTrue="1">
      <formula>OR($G122="M",$G122="A")</formula>
    </cfRule>
  </conditionalFormatting>
  <conditionalFormatting sqref="F122">
    <cfRule type="expression" dxfId="46" priority="35" stopIfTrue="1">
      <formula>OR($G122="M",$G122="A")</formula>
    </cfRule>
  </conditionalFormatting>
  <conditionalFormatting sqref="I122">
    <cfRule type="expression" dxfId="45" priority="34" stopIfTrue="1">
      <formula>OR($G122="M",$G122="A")</formula>
    </cfRule>
  </conditionalFormatting>
  <conditionalFormatting sqref="N122">
    <cfRule type="expression" dxfId="44" priority="33" stopIfTrue="1">
      <formula>OR($G122="M",$G122="A")</formula>
    </cfRule>
  </conditionalFormatting>
  <conditionalFormatting sqref="G243:H244 J243:M244">
    <cfRule type="expression" dxfId="43" priority="32" stopIfTrue="1">
      <formula>OR($G243="M",$G243="A")</formula>
    </cfRule>
  </conditionalFormatting>
  <conditionalFormatting sqref="N243:N244">
    <cfRule type="expression" dxfId="42" priority="31" stopIfTrue="1">
      <formula>OR($G243="M",$G243="A")</formula>
    </cfRule>
  </conditionalFormatting>
  <conditionalFormatting sqref="M111:M112">
    <cfRule type="expression" dxfId="41" priority="29" stopIfTrue="1">
      <formula>OR($G111="M",$G111="A")</formula>
    </cfRule>
  </conditionalFormatting>
  <conditionalFormatting sqref="N111:N112">
    <cfRule type="expression" dxfId="40" priority="28" stopIfTrue="1">
      <formula>OR($G111="M",$G111="A")</formula>
    </cfRule>
  </conditionalFormatting>
  <conditionalFormatting sqref="J111:L112 G111:H112">
    <cfRule type="expression" dxfId="39" priority="27" stopIfTrue="1">
      <formula>OR($G111="M",$G111="A")</formula>
    </cfRule>
  </conditionalFormatting>
  <conditionalFormatting sqref="G238:H238 J238:M238">
    <cfRule type="expression" dxfId="38" priority="26" stopIfTrue="1">
      <formula>OR($G238="M",$G238="A")</formula>
    </cfRule>
  </conditionalFormatting>
  <conditionalFormatting sqref="N238">
    <cfRule type="expression" dxfId="37" priority="25" stopIfTrue="1">
      <formula>OR($G238="M",$G238="A")</formula>
    </cfRule>
  </conditionalFormatting>
  <conditionalFormatting sqref="G154">
    <cfRule type="expression" dxfId="36" priority="24" stopIfTrue="1">
      <formula>OR($G154="M",$G154="A")</formula>
    </cfRule>
  </conditionalFormatting>
  <conditionalFormatting sqref="M154">
    <cfRule type="expression" dxfId="35" priority="23" stopIfTrue="1">
      <formula>OR($G154="M",$G154="A")</formula>
    </cfRule>
  </conditionalFormatting>
  <conditionalFormatting sqref="N154">
    <cfRule type="expression" dxfId="34" priority="22" stopIfTrue="1">
      <formula>OR($G154="M",$G154="A")</formula>
    </cfRule>
  </conditionalFormatting>
  <conditionalFormatting sqref="H154 J154:L154">
    <cfRule type="expression" dxfId="33" priority="21" stopIfTrue="1">
      <formula>OR($G154="M",$G154="A")</formula>
    </cfRule>
  </conditionalFormatting>
  <conditionalFormatting sqref="I154">
    <cfRule type="expression" dxfId="32" priority="20" stopIfTrue="1">
      <formula>OR($G154="M",$G154="A")</formula>
    </cfRule>
  </conditionalFormatting>
  <conditionalFormatting sqref="G155">
    <cfRule type="expression" dxfId="31" priority="14" stopIfTrue="1">
      <formula>OR($G155="M",$G155="A")</formula>
    </cfRule>
  </conditionalFormatting>
  <conditionalFormatting sqref="M155">
    <cfRule type="expression" dxfId="30" priority="13" stopIfTrue="1">
      <formula>OR($G155="M",$G155="A")</formula>
    </cfRule>
  </conditionalFormatting>
  <conditionalFormatting sqref="N155">
    <cfRule type="expression" dxfId="29" priority="12" stopIfTrue="1">
      <formula>OR($G155="M",$G155="A")</formula>
    </cfRule>
  </conditionalFormatting>
  <conditionalFormatting sqref="H155 J155:L155">
    <cfRule type="expression" dxfId="28" priority="11" stopIfTrue="1">
      <formula>OR($G155="M",$G155="A")</formula>
    </cfRule>
  </conditionalFormatting>
  <conditionalFormatting sqref="I155">
    <cfRule type="expression" dxfId="27" priority="10" stopIfTrue="1">
      <formula>OR($G155="M",$G155="A")</formula>
    </cfRule>
  </conditionalFormatting>
  <conditionalFormatting sqref="G156:H156 J156:M156">
    <cfRule type="expression" dxfId="26" priority="9" stopIfTrue="1">
      <formula>OR($G156="M",$G156="A")</formula>
    </cfRule>
  </conditionalFormatting>
  <conditionalFormatting sqref="I156">
    <cfRule type="expression" dxfId="25" priority="8" stopIfTrue="1">
      <formula>OR($G156="M",$G156="A")</formula>
    </cfRule>
  </conditionalFormatting>
  <conditionalFormatting sqref="N156">
    <cfRule type="expression" dxfId="24" priority="7" stopIfTrue="1">
      <formula>OR($G156="M",$G156="A")</formula>
    </cfRule>
  </conditionalFormatting>
  <conditionalFormatting sqref="G145:H145 J145">
    <cfRule type="expression" dxfId="21" priority="6" stopIfTrue="1">
      <formula>OR($G145="M",$G145="A")</formula>
    </cfRule>
  </conditionalFormatting>
  <conditionalFormatting sqref="I145">
    <cfRule type="expression" dxfId="20" priority="5" stopIfTrue="1">
      <formula>OR($G145="M",$G145="A")</formula>
    </cfRule>
  </conditionalFormatting>
  <conditionalFormatting sqref="G157:H157 J157:M157">
    <cfRule type="expression" dxfId="19" priority="4" stopIfTrue="1">
      <formula>OR($G157="M",$G157="A")</formula>
    </cfRule>
  </conditionalFormatting>
  <conditionalFormatting sqref="N157">
    <cfRule type="expression" dxfId="18" priority="3" stopIfTrue="1">
      <formula>OR($G157="M",$G157="A")</formula>
    </cfRule>
  </conditionalFormatting>
  <conditionalFormatting sqref="G216:H216 J216:M216">
    <cfRule type="expression" dxfId="1" priority="2" stopIfTrue="1">
      <formula>OR($G216="M",$G216="A")</formula>
    </cfRule>
  </conditionalFormatting>
  <conditionalFormatting sqref="N216">
    <cfRule type="expression" dxfId="0" priority="1" stopIfTrue="1">
      <formula>OR($G216="M",$G216="A")</formula>
    </cfRule>
  </conditionalFormatting>
  <dataValidations count="4">
    <dataValidation type="list" allowBlank="1" showInputMessage="1" showErrorMessage="1" sqref="E15" xr:uid="{00000000-0002-0000-0000-000000000000}">
      <formula1>"M"</formula1>
    </dataValidation>
    <dataValidation type="list" showInputMessage="1" showErrorMessage="1" sqref="E16:E246" xr:uid="{00000000-0002-0000-0000-000001000000}">
      <formula1>$AA$16:$AA$18</formula1>
    </dataValidation>
    <dataValidation type="list" allowBlank="1" showInputMessage="1" showErrorMessage="1" sqref="G15:G246" xr:uid="{00000000-0002-0000-0000-000002000000}">
      <formula1>"SINAPI,SINAPI-I,Composição,Cotação"</formula1>
    </dataValidation>
    <dataValidation type="list" allowBlank="1" showInputMessage="1" showErrorMessage="1" sqref="O15:O246" xr:uid="{00000000-0002-0000-0000-000003000000}">
      <formula1>"P,D1,D2,,Z"</formula1>
    </dataValidation>
  </dataValidations>
  <pageMargins left="0.11811023622047245" right="0.39370078740157483" top="0.19685039370078741" bottom="0.39370078740157483" header="0.19685039370078741" footer="0.31496062992125984"/>
  <pageSetup paperSize="9" scale="6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5"/>
  <sheetViews>
    <sheetView zoomScale="84" zoomScaleNormal="84" workbookViewId="0">
      <selection activeCell="D38" sqref="D38"/>
    </sheetView>
  </sheetViews>
  <sheetFormatPr defaultRowHeight="15" x14ac:dyDescent="0.25"/>
  <cols>
    <col min="1" max="1" width="9.140625" style="14"/>
    <col min="2" max="2" width="30.42578125" style="14" customWidth="1"/>
    <col min="3" max="3" width="9.140625" style="14"/>
    <col min="4" max="4" width="9.5703125" style="14" bestFit="1" customWidth="1"/>
    <col min="5" max="5" width="9.140625" style="14"/>
    <col min="6" max="6" width="12" customWidth="1"/>
    <col min="7" max="7" width="10" bestFit="1" customWidth="1"/>
    <col min="8" max="8" width="10.7109375" customWidth="1"/>
    <col min="9" max="9" width="9.85546875" customWidth="1"/>
    <col min="10" max="10" width="11.5703125" style="14" customWidth="1"/>
    <col min="11" max="11" width="10.28515625" style="14" customWidth="1"/>
    <col min="12" max="12" width="9.140625" style="14"/>
    <col min="13" max="13" width="9.7109375" style="14" bestFit="1" customWidth="1"/>
    <col min="14" max="19" width="9.140625" style="14"/>
  </cols>
  <sheetData>
    <row r="1" spans="1:13" s="14" customFormat="1" x14ac:dyDescent="0.25">
      <c r="A1" s="68"/>
      <c r="B1" s="68"/>
      <c r="C1" s="69" t="s">
        <v>63</v>
      </c>
      <c r="D1" s="68"/>
      <c r="E1" s="68"/>
      <c r="F1" s="68"/>
      <c r="G1" s="68"/>
      <c r="H1" s="68"/>
      <c r="I1" s="68"/>
    </row>
    <row r="2" spans="1:13" s="14" customFormat="1" x14ac:dyDescent="0.25">
      <c r="A2" s="68"/>
      <c r="B2" s="70"/>
      <c r="C2" s="68"/>
      <c r="D2" s="71"/>
      <c r="E2" s="71"/>
      <c r="F2" s="71"/>
      <c r="G2" s="71"/>
      <c r="H2" s="71"/>
      <c r="I2" s="71"/>
    </row>
    <row r="3" spans="1:13" s="14" customFormat="1" x14ac:dyDescent="0.25">
      <c r="A3" s="68"/>
      <c r="B3" s="68"/>
      <c r="C3" s="68"/>
      <c r="D3" s="71"/>
      <c r="E3" s="71"/>
      <c r="F3" s="71"/>
      <c r="G3" s="71"/>
      <c r="H3" s="71"/>
      <c r="I3" s="71"/>
    </row>
    <row r="4" spans="1:13" s="14" customFormat="1" x14ac:dyDescent="0.25">
      <c r="A4" s="72" t="s">
        <v>64</v>
      </c>
      <c r="B4" s="73"/>
      <c r="C4" s="74" t="s">
        <v>65</v>
      </c>
      <c r="D4" s="71"/>
      <c r="E4" s="71"/>
      <c r="F4" s="68"/>
      <c r="G4" s="72" t="s">
        <v>66</v>
      </c>
      <c r="H4" s="68"/>
      <c r="I4" s="75"/>
    </row>
    <row r="5" spans="1:13" s="14" customFormat="1" ht="39.75" customHeight="1" x14ac:dyDescent="0.25">
      <c r="A5" s="152">
        <v>0</v>
      </c>
      <c r="B5" s="153"/>
      <c r="C5" s="152" t="s">
        <v>518</v>
      </c>
      <c r="D5" s="154"/>
      <c r="E5" s="154"/>
      <c r="F5" s="155"/>
      <c r="G5" s="156" t="s">
        <v>67</v>
      </c>
      <c r="H5" s="157"/>
      <c r="I5" s="158"/>
    </row>
    <row r="6" spans="1:13" s="14" customFormat="1" x14ac:dyDescent="0.25">
      <c r="A6" s="68"/>
      <c r="B6" s="68"/>
      <c r="C6" s="68"/>
      <c r="D6" s="71"/>
      <c r="E6" s="71"/>
      <c r="F6" s="71"/>
      <c r="G6" s="71"/>
      <c r="H6" s="68"/>
      <c r="I6" s="71"/>
    </row>
    <row r="7" spans="1:13" s="14" customFormat="1" x14ac:dyDescent="0.25">
      <c r="A7" s="74" t="s">
        <v>68</v>
      </c>
      <c r="B7" s="76"/>
      <c r="C7" s="75" t="s">
        <v>69</v>
      </c>
      <c r="D7" s="75"/>
      <c r="E7" s="76"/>
      <c r="F7" s="77" t="s">
        <v>70</v>
      </c>
      <c r="G7" s="78"/>
      <c r="H7" s="147"/>
      <c r="I7" s="146" t="s">
        <v>25</v>
      </c>
    </row>
    <row r="8" spans="1:13" s="14" customFormat="1" x14ac:dyDescent="0.25">
      <c r="A8" s="156" t="s">
        <v>71</v>
      </c>
      <c r="B8" s="155"/>
      <c r="C8" s="159" t="s">
        <v>519</v>
      </c>
      <c r="D8" s="153"/>
      <c r="E8" s="160"/>
      <c r="F8" s="79" t="s">
        <v>520</v>
      </c>
      <c r="G8" s="80"/>
      <c r="H8" s="80"/>
      <c r="I8" s="146"/>
    </row>
    <row r="9" spans="1:13" s="14" customFormat="1" x14ac:dyDescent="0.25">
      <c r="A9" s="68"/>
      <c r="B9" s="68"/>
      <c r="C9" s="68"/>
      <c r="D9" s="68"/>
      <c r="E9" s="68"/>
      <c r="F9" s="68"/>
      <c r="G9" s="68"/>
      <c r="H9" s="68"/>
      <c r="I9" s="68"/>
    </row>
    <row r="10" spans="1:13" x14ac:dyDescent="0.25">
      <c r="A10" s="81" t="s">
        <v>72</v>
      </c>
      <c r="B10" s="82"/>
      <c r="C10" s="83"/>
      <c r="D10" s="84" t="s">
        <v>73</v>
      </c>
      <c r="E10" s="84" t="s">
        <v>74</v>
      </c>
      <c r="F10" s="60" t="s">
        <v>75</v>
      </c>
      <c r="G10" s="61">
        <v>1</v>
      </c>
      <c r="H10" s="62" t="s">
        <v>75</v>
      </c>
      <c r="I10" s="63">
        <v>2</v>
      </c>
      <c r="J10" s="62" t="s">
        <v>75</v>
      </c>
      <c r="K10" s="63">
        <v>3</v>
      </c>
      <c r="L10" s="62" t="s">
        <v>75</v>
      </c>
      <c r="M10" s="63">
        <v>4</v>
      </c>
    </row>
    <row r="11" spans="1:13" x14ac:dyDescent="0.25">
      <c r="A11" s="85" t="s">
        <v>76</v>
      </c>
      <c r="B11" s="148" t="s">
        <v>20</v>
      </c>
      <c r="C11" s="149"/>
      <c r="D11" s="86" t="s">
        <v>77</v>
      </c>
      <c r="E11" s="87" t="s">
        <v>78</v>
      </c>
      <c r="F11" s="64" t="s">
        <v>79</v>
      </c>
      <c r="G11" s="64" t="s">
        <v>80</v>
      </c>
      <c r="H11" s="64" t="s">
        <v>79</v>
      </c>
      <c r="I11" s="64" t="s">
        <v>80</v>
      </c>
      <c r="J11" s="64" t="s">
        <v>79</v>
      </c>
      <c r="K11" s="64" t="s">
        <v>80</v>
      </c>
      <c r="L11" s="64" t="s">
        <v>79</v>
      </c>
      <c r="M11" s="64" t="s">
        <v>80</v>
      </c>
    </row>
    <row r="12" spans="1:13" x14ac:dyDescent="0.25">
      <c r="A12" s="125">
        <v>1</v>
      </c>
      <c r="B12" s="150" t="s">
        <v>185</v>
      </c>
      <c r="C12" s="151"/>
      <c r="D12" s="126" t="s">
        <v>25</v>
      </c>
      <c r="E12" s="122" t="s">
        <v>25</v>
      </c>
      <c r="F12" s="127"/>
      <c r="G12" s="126">
        <v>0</v>
      </c>
      <c r="H12" s="127"/>
      <c r="I12" s="126">
        <v>0</v>
      </c>
      <c r="J12" s="127"/>
      <c r="K12" s="126">
        <v>0</v>
      </c>
      <c r="L12" s="127"/>
      <c r="M12" s="126">
        <v>0</v>
      </c>
    </row>
    <row r="13" spans="1:13" x14ac:dyDescent="0.25">
      <c r="A13" s="89" t="s">
        <v>7</v>
      </c>
      <c r="B13" s="143" t="s">
        <v>110</v>
      </c>
      <c r="C13" s="144"/>
      <c r="D13" s="90">
        <f>'PLANILHA ORÇAMENTÁRIA'!N16</f>
        <v>17334.475397604005</v>
      </c>
      <c r="E13" s="88">
        <f t="shared" ref="E13:E35" si="0">D13/$D$37</f>
        <v>2.3605331546813369E-2</v>
      </c>
      <c r="F13" s="66">
        <v>100</v>
      </c>
      <c r="G13" s="145">
        <f>F13</f>
        <v>100</v>
      </c>
      <c r="H13" s="66"/>
      <c r="I13" s="145">
        <v>100</v>
      </c>
      <c r="J13" s="66"/>
      <c r="K13" s="145">
        <v>100</v>
      </c>
      <c r="L13" s="66"/>
      <c r="M13" s="145">
        <v>100</v>
      </c>
    </row>
    <row r="14" spans="1:13" x14ac:dyDescent="0.25">
      <c r="A14" s="89" t="s">
        <v>15</v>
      </c>
      <c r="B14" s="143" t="s">
        <v>115</v>
      </c>
      <c r="C14" s="144"/>
      <c r="D14" s="90">
        <f>'PLANILHA ORÇAMENTÁRIA'!N26</f>
        <v>4225.8086487769997</v>
      </c>
      <c r="E14" s="88">
        <f t="shared" si="0"/>
        <v>5.7545216638953088E-3</v>
      </c>
      <c r="F14" s="66">
        <v>100</v>
      </c>
      <c r="G14" s="145">
        <f t="shared" ref="G14:G23" si="1">F14</f>
        <v>100</v>
      </c>
      <c r="H14" s="66"/>
      <c r="I14" s="145">
        <v>100</v>
      </c>
      <c r="J14" s="66"/>
      <c r="K14" s="145">
        <v>100</v>
      </c>
      <c r="L14" s="66"/>
      <c r="M14" s="145">
        <v>100</v>
      </c>
    </row>
    <row r="15" spans="1:13" x14ac:dyDescent="0.25">
      <c r="A15" s="89" t="s">
        <v>40</v>
      </c>
      <c r="B15" s="143" t="s">
        <v>122</v>
      </c>
      <c r="C15" s="144"/>
      <c r="D15" s="90">
        <f>'PLANILHA ORÇAMENTÁRIA'!N32</f>
        <v>156228.60689991101</v>
      </c>
      <c r="E15" s="88">
        <f t="shared" si="0"/>
        <v>0.2127452938944383</v>
      </c>
      <c r="F15" s="66">
        <v>100</v>
      </c>
      <c r="G15" s="145">
        <f t="shared" si="1"/>
        <v>100</v>
      </c>
      <c r="H15" s="66"/>
      <c r="I15" s="145">
        <v>100</v>
      </c>
      <c r="J15" s="66"/>
      <c r="K15" s="145">
        <v>10</v>
      </c>
      <c r="L15" s="66"/>
      <c r="M15" s="65">
        <v>100</v>
      </c>
    </row>
    <row r="16" spans="1:13" x14ac:dyDescent="0.25">
      <c r="A16" s="89" t="s">
        <v>44</v>
      </c>
      <c r="B16" s="143" t="s">
        <v>144</v>
      </c>
      <c r="C16" s="144"/>
      <c r="D16" s="90">
        <f>'PLANILHA ORÇAMENTÁRIA'!N61</f>
        <v>62709.730143899993</v>
      </c>
      <c r="E16" s="88">
        <f t="shared" si="0"/>
        <v>8.5395371783940036E-2</v>
      </c>
      <c r="F16" s="66"/>
      <c r="G16" s="145">
        <f t="shared" si="1"/>
        <v>0</v>
      </c>
      <c r="H16" s="66">
        <v>100</v>
      </c>
      <c r="I16" s="145">
        <f t="shared" ref="I16:I23" si="2">H16</f>
        <v>100</v>
      </c>
      <c r="J16" s="66"/>
      <c r="K16" s="145">
        <v>10</v>
      </c>
      <c r="L16" s="66"/>
      <c r="M16" s="145">
        <v>100</v>
      </c>
    </row>
    <row r="17" spans="1:13" x14ac:dyDescent="0.25">
      <c r="A17" s="89" t="s">
        <v>48</v>
      </c>
      <c r="B17" s="143" t="s">
        <v>270</v>
      </c>
      <c r="C17" s="144"/>
      <c r="D17" s="90">
        <f>'PLANILHA ORÇAMENTÁRIA'!N68</f>
        <v>8326.0915049999985</v>
      </c>
      <c r="E17" s="88">
        <f t="shared" si="0"/>
        <v>1.1338107785586481E-2</v>
      </c>
      <c r="F17" s="66"/>
      <c r="G17" s="145">
        <f t="shared" si="1"/>
        <v>0</v>
      </c>
      <c r="H17" s="66">
        <v>50</v>
      </c>
      <c r="I17" s="145">
        <f t="shared" si="2"/>
        <v>50</v>
      </c>
      <c r="J17" s="66">
        <v>50</v>
      </c>
      <c r="K17" s="145">
        <v>10</v>
      </c>
      <c r="L17" s="66"/>
      <c r="M17" s="145">
        <v>100</v>
      </c>
    </row>
    <row r="18" spans="1:13" x14ac:dyDescent="0.25">
      <c r="A18" s="89" t="s">
        <v>62</v>
      </c>
      <c r="B18" s="143" t="s">
        <v>271</v>
      </c>
      <c r="C18" s="144"/>
      <c r="D18" s="90">
        <f>'PLANILHA ORÇAMENTÁRIA'!N76</f>
        <v>2695.2580600000001</v>
      </c>
      <c r="E18" s="88">
        <f t="shared" si="0"/>
        <v>3.6702847159317546E-3</v>
      </c>
      <c r="F18" s="66"/>
      <c r="G18" s="145">
        <f t="shared" si="1"/>
        <v>0</v>
      </c>
      <c r="H18" s="66">
        <v>50</v>
      </c>
      <c r="I18" s="145">
        <f t="shared" si="2"/>
        <v>50</v>
      </c>
      <c r="J18" s="66">
        <v>50</v>
      </c>
      <c r="K18" s="145">
        <v>10</v>
      </c>
      <c r="L18" s="66"/>
      <c r="M18" s="145">
        <v>100</v>
      </c>
    </row>
    <row r="19" spans="1:13" x14ac:dyDescent="0.25">
      <c r="A19" s="89" t="s">
        <v>52</v>
      </c>
      <c r="B19" s="140" t="s">
        <v>157</v>
      </c>
      <c r="C19" s="141"/>
      <c r="D19" s="90">
        <f>'PLANILHA ORÇAMENTÁRIA'!N80</f>
        <v>67622.988662802993</v>
      </c>
      <c r="E19" s="88">
        <f t="shared" si="0"/>
        <v>9.2086032657931138E-2</v>
      </c>
      <c r="F19" s="66"/>
      <c r="G19" s="145">
        <f t="shared" si="1"/>
        <v>0</v>
      </c>
      <c r="H19" s="66">
        <v>50</v>
      </c>
      <c r="I19" s="145">
        <f t="shared" si="2"/>
        <v>50</v>
      </c>
      <c r="J19" s="66">
        <v>50</v>
      </c>
      <c r="K19" s="145">
        <v>100</v>
      </c>
      <c r="L19" s="66"/>
      <c r="M19" s="65">
        <v>100</v>
      </c>
    </row>
    <row r="20" spans="1:13" ht="23.25" customHeight="1" x14ac:dyDescent="0.25">
      <c r="A20" s="89" t="s">
        <v>55</v>
      </c>
      <c r="B20" s="140" t="s">
        <v>184</v>
      </c>
      <c r="C20" s="141"/>
      <c r="D20" s="90">
        <f>'PLANILHA ORÇAMENTÁRIA'!N99</f>
        <v>18413.798315305401</v>
      </c>
      <c r="E20" s="88">
        <f t="shared" si="0"/>
        <v>2.5075106358800871E-2</v>
      </c>
      <c r="F20" s="66"/>
      <c r="G20" s="145">
        <f t="shared" si="1"/>
        <v>0</v>
      </c>
      <c r="H20" s="66"/>
      <c r="I20" s="145">
        <f t="shared" si="2"/>
        <v>0</v>
      </c>
      <c r="J20" s="66">
        <v>100</v>
      </c>
      <c r="K20" s="145">
        <f t="shared" ref="K20:K23" si="3">J20</f>
        <v>100</v>
      </c>
      <c r="L20" s="66"/>
      <c r="M20" s="145">
        <v>100</v>
      </c>
    </row>
    <row r="21" spans="1:13" x14ac:dyDescent="0.25">
      <c r="A21" s="89" t="s">
        <v>84</v>
      </c>
      <c r="B21" s="104" t="s">
        <v>208</v>
      </c>
      <c r="C21" s="105"/>
      <c r="D21" s="106">
        <f>'PLANILHA ORÇAMENTÁRIA'!N109</f>
        <v>18128.087833999998</v>
      </c>
      <c r="E21" s="88">
        <f t="shared" si="0"/>
        <v>2.4686038303211151E-2</v>
      </c>
      <c r="F21" s="109"/>
      <c r="G21" s="145">
        <f t="shared" si="1"/>
        <v>0</v>
      </c>
      <c r="H21" s="109"/>
      <c r="I21" s="145">
        <f t="shared" si="2"/>
        <v>0</v>
      </c>
      <c r="J21" s="109"/>
      <c r="K21" s="145">
        <f t="shared" si="3"/>
        <v>0</v>
      </c>
      <c r="L21" s="109">
        <v>100</v>
      </c>
      <c r="M21" s="145">
        <v>100</v>
      </c>
    </row>
    <row r="22" spans="1:13" x14ac:dyDescent="0.25">
      <c r="A22" s="89" t="s">
        <v>99</v>
      </c>
      <c r="B22" s="104" t="s">
        <v>148</v>
      </c>
      <c r="C22" s="105"/>
      <c r="D22" s="107">
        <f>'PLANILHA ORÇAMENTÁRIA'!N115</f>
        <v>53810.013425149999</v>
      </c>
      <c r="E22" s="88">
        <f t="shared" si="0"/>
        <v>7.3276126234239167E-2</v>
      </c>
      <c r="F22" s="109"/>
      <c r="G22" s="145">
        <f t="shared" si="1"/>
        <v>0</v>
      </c>
      <c r="H22" s="109"/>
      <c r="I22" s="145">
        <f t="shared" si="2"/>
        <v>0</v>
      </c>
      <c r="J22" s="109"/>
      <c r="K22" s="145">
        <f t="shared" si="3"/>
        <v>0</v>
      </c>
      <c r="L22" s="109">
        <v>100</v>
      </c>
      <c r="M22" s="145">
        <v>100</v>
      </c>
    </row>
    <row r="23" spans="1:13" x14ac:dyDescent="0.25">
      <c r="A23" s="89" t="s">
        <v>100</v>
      </c>
      <c r="B23" s="104" t="s">
        <v>190</v>
      </c>
      <c r="C23" s="105"/>
      <c r="D23" s="107">
        <f>'PLANILHA ORÇAMENTÁRIA'!N122</f>
        <v>652.35022649999996</v>
      </c>
      <c r="E23" s="88">
        <f t="shared" si="0"/>
        <v>8.8834204831487193E-4</v>
      </c>
      <c r="F23" s="109"/>
      <c r="G23" s="145">
        <f t="shared" si="1"/>
        <v>0</v>
      </c>
      <c r="H23" s="109"/>
      <c r="I23" s="145">
        <f t="shared" si="2"/>
        <v>0</v>
      </c>
      <c r="J23" s="109"/>
      <c r="K23" s="145">
        <f t="shared" si="3"/>
        <v>0</v>
      </c>
      <c r="L23" s="109">
        <v>100</v>
      </c>
      <c r="M23" s="65">
        <v>100</v>
      </c>
    </row>
    <row r="24" spans="1:13" x14ac:dyDescent="0.25">
      <c r="A24" s="118">
        <v>2</v>
      </c>
      <c r="B24" s="119" t="s">
        <v>186</v>
      </c>
      <c r="C24" s="120"/>
      <c r="D24" s="121"/>
      <c r="E24" s="122">
        <f t="shared" si="0"/>
        <v>0</v>
      </c>
      <c r="F24" s="123"/>
      <c r="G24" s="124"/>
      <c r="H24" s="123"/>
      <c r="I24" s="124"/>
      <c r="J24" s="123"/>
      <c r="K24" s="124"/>
      <c r="L24" s="123"/>
      <c r="M24" s="124"/>
    </row>
    <row r="25" spans="1:13" x14ac:dyDescent="0.25">
      <c r="A25" s="89" t="s">
        <v>93</v>
      </c>
      <c r="B25" s="103" t="s">
        <v>110</v>
      </c>
      <c r="C25" s="105"/>
      <c r="D25" s="106">
        <f>'PLANILHA ORÇAMENTÁRIA'!N125</f>
        <v>8112.1310079893747</v>
      </c>
      <c r="E25" s="88">
        <f t="shared" si="0"/>
        <v>1.1046745725067773E-2</v>
      </c>
      <c r="F25" s="109">
        <v>100</v>
      </c>
      <c r="G25" s="65">
        <v>100</v>
      </c>
      <c r="H25" s="109"/>
      <c r="I25" s="65">
        <v>100</v>
      </c>
      <c r="J25" s="109"/>
      <c r="K25" s="65">
        <v>100</v>
      </c>
      <c r="L25" s="109"/>
      <c r="M25" s="65">
        <v>100</v>
      </c>
    </row>
    <row r="26" spans="1:13" x14ac:dyDescent="0.25">
      <c r="A26" s="89" t="s">
        <v>94</v>
      </c>
      <c r="B26" s="103" t="s">
        <v>115</v>
      </c>
      <c r="C26" s="105"/>
      <c r="D26" s="107">
        <f>'PLANILHA ORÇAMENTÁRIA'!N136</f>
        <v>1796.4824970674999</v>
      </c>
      <c r="E26" s="88">
        <f t="shared" si="0"/>
        <v>2.4463714066124556E-3</v>
      </c>
      <c r="F26" s="109">
        <v>100</v>
      </c>
      <c r="G26" s="65">
        <v>100</v>
      </c>
      <c r="H26" s="109"/>
      <c r="I26" s="65">
        <v>100</v>
      </c>
      <c r="J26" s="109"/>
      <c r="K26" s="65">
        <v>100</v>
      </c>
      <c r="L26" s="109"/>
      <c r="M26" s="65">
        <v>100</v>
      </c>
    </row>
    <row r="27" spans="1:13" x14ac:dyDescent="0.25">
      <c r="A27" s="89" t="s">
        <v>95</v>
      </c>
      <c r="B27" s="103" t="s">
        <v>122</v>
      </c>
      <c r="C27" s="105"/>
      <c r="D27" s="107">
        <f>'PLANILHA ORÇAMENTÁRIA'!N142</f>
        <v>94512.279682154767</v>
      </c>
      <c r="E27" s="88">
        <f t="shared" si="0"/>
        <v>0.12870269483037181</v>
      </c>
      <c r="F27" s="109">
        <v>100</v>
      </c>
      <c r="G27" s="65">
        <v>100</v>
      </c>
      <c r="H27" s="109"/>
      <c r="I27" s="65">
        <v>100</v>
      </c>
      <c r="J27" s="109"/>
      <c r="K27" s="65">
        <v>100</v>
      </c>
      <c r="L27" s="109"/>
      <c r="M27" s="65">
        <v>100</v>
      </c>
    </row>
    <row r="28" spans="1:13" x14ac:dyDescent="0.25">
      <c r="A28" s="89" t="s">
        <v>96</v>
      </c>
      <c r="B28" s="141" t="s">
        <v>144</v>
      </c>
      <c r="C28" s="105"/>
      <c r="D28" s="107">
        <f>'PLANILHA ORÇAMENTÁRIA'!N173</f>
        <v>98807.132233499986</v>
      </c>
      <c r="E28" s="88">
        <f t="shared" si="0"/>
        <v>0.13455123746542577</v>
      </c>
      <c r="F28" s="109"/>
      <c r="G28" s="65">
        <v>0</v>
      </c>
      <c r="H28" s="109">
        <v>100</v>
      </c>
      <c r="I28" s="65">
        <v>100</v>
      </c>
      <c r="J28" s="109"/>
      <c r="K28" s="65">
        <v>100</v>
      </c>
      <c r="L28" s="109"/>
      <c r="M28" s="65">
        <v>100</v>
      </c>
    </row>
    <row r="29" spans="1:13" ht="15.75" customHeight="1" x14ac:dyDescent="0.25">
      <c r="A29" s="89" t="s">
        <v>97</v>
      </c>
      <c r="B29" s="141" t="s">
        <v>270</v>
      </c>
      <c r="C29" s="105"/>
      <c r="D29" s="107">
        <f>'PLANILHA ORÇAMENTÁRIA'!N180</f>
        <v>9891.8264250000011</v>
      </c>
      <c r="E29" s="88">
        <f t="shared" si="0"/>
        <v>1.3470257219201991E-2</v>
      </c>
      <c r="F29" s="109"/>
      <c r="G29" s="65">
        <v>0</v>
      </c>
      <c r="H29" s="109">
        <v>100</v>
      </c>
      <c r="I29" s="65">
        <v>100</v>
      </c>
      <c r="J29" s="109"/>
      <c r="K29" s="65">
        <v>100</v>
      </c>
      <c r="L29" s="109"/>
      <c r="M29" s="65">
        <v>100</v>
      </c>
    </row>
    <row r="30" spans="1:13" x14ac:dyDescent="0.25">
      <c r="A30" s="89" t="s">
        <v>101</v>
      </c>
      <c r="B30" s="117" t="s">
        <v>271</v>
      </c>
      <c r="C30" s="114"/>
      <c r="D30" s="110">
        <f>'PLANILHA ORÇAMENTÁRIA'!N189</f>
        <v>10304.0255</v>
      </c>
      <c r="E30" s="88">
        <f t="shared" si="0"/>
        <v>1.4031571917540635E-2</v>
      </c>
      <c r="F30" s="111"/>
      <c r="G30" s="65">
        <v>0</v>
      </c>
      <c r="H30" s="111">
        <v>100</v>
      </c>
      <c r="I30" s="65">
        <v>100</v>
      </c>
      <c r="J30" s="111"/>
      <c r="K30" s="65">
        <v>100</v>
      </c>
      <c r="L30" s="111"/>
      <c r="M30" s="65">
        <v>100</v>
      </c>
    </row>
    <row r="31" spans="1:13" x14ac:dyDescent="0.25">
      <c r="A31" s="89" t="s">
        <v>102</v>
      </c>
      <c r="B31" s="141" t="s">
        <v>157</v>
      </c>
      <c r="C31" s="105"/>
      <c r="D31" s="90">
        <f>'PLANILHA ORÇAMENTÁRIA'!N205</f>
        <v>29419.450610903001</v>
      </c>
      <c r="E31" s="88">
        <f t="shared" si="0"/>
        <v>4.006212300439476E-2</v>
      </c>
      <c r="F31" s="66"/>
      <c r="G31" s="65">
        <v>0</v>
      </c>
      <c r="H31" s="66">
        <v>100</v>
      </c>
      <c r="I31" s="65">
        <v>100</v>
      </c>
      <c r="J31" s="66"/>
      <c r="K31" s="65">
        <v>100</v>
      </c>
      <c r="L31" s="66"/>
      <c r="M31" s="65">
        <v>100</v>
      </c>
    </row>
    <row r="32" spans="1:13" x14ac:dyDescent="0.25">
      <c r="A32" s="89" t="s">
        <v>468</v>
      </c>
      <c r="B32" s="141" t="s">
        <v>184</v>
      </c>
      <c r="C32" s="105"/>
      <c r="D32" s="107">
        <f>'PLANILHA ORÇAMENTÁRIA'!N223</f>
        <v>11948.104171375198</v>
      </c>
      <c r="E32" s="88">
        <f t="shared" si="0"/>
        <v>1.6270406450267262E-2</v>
      </c>
      <c r="F32" s="109"/>
      <c r="G32" s="65">
        <v>0</v>
      </c>
      <c r="H32" s="109"/>
      <c r="I32" s="65">
        <v>0</v>
      </c>
      <c r="J32" s="109">
        <v>100</v>
      </c>
      <c r="K32" s="65">
        <v>100</v>
      </c>
      <c r="L32" s="109"/>
      <c r="M32" s="65">
        <v>100</v>
      </c>
    </row>
    <row r="33" spans="1:13" ht="15.75" customHeight="1" x14ac:dyDescent="0.25">
      <c r="A33" s="89" t="s">
        <v>478</v>
      </c>
      <c r="B33" s="141" t="s">
        <v>148</v>
      </c>
      <c r="C33" s="105"/>
      <c r="D33" s="107">
        <f>'PLANILHA ORÇAMENTÁRIA'!N233</f>
        <v>40457.975744549993</v>
      </c>
      <c r="E33" s="88">
        <f t="shared" si="0"/>
        <v>5.5093904445186775E-2</v>
      </c>
      <c r="F33" s="109"/>
      <c r="G33" s="65">
        <v>0</v>
      </c>
      <c r="H33" s="109"/>
      <c r="I33" s="65">
        <v>0</v>
      </c>
      <c r="J33" s="109">
        <v>100</v>
      </c>
      <c r="K33" s="65">
        <v>100</v>
      </c>
      <c r="L33" s="109"/>
      <c r="M33" s="65">
        <v>100</v>
      </c>
    </row>
    <row r="34" spans="1:13" x14ac:dyDescent="0.25">
      <c r="A34" s="89" t="s">
        <v>484</v>
      </c>
      <c r="B34" s="117" t="s">
        <v>208</v>
      </c>
      <c r="C34" s="114"/>
      <c r="D34" s="110">
        <f>'PLANILHA ORÇAMENTÁRIA'!N239</f>
        <v>16158.676129399999</v>
      </c>
      <c r="E34" s="88">
        <f t="shared" si="0"/>
        <v>2.2004179454129188E-2</v>
      </c>
      <c r="F34" s="111"/>
      <c r="G34" s="65">
        <v>0</v>
      </c>
      <c r="H34" s="111"/>
      <c r="I34" s="112">
        <v>0</v>
      </c>
      <c r="J34" s="111"/>
      <c r="K34" s="65">
        <v>0</v>
      </c>
      <c r="L34" s="111">
        <v>100</v>
      </c>
      <c r="M34" s="65">
        <v>100</v>
      </c>
    </row>
    <row r="35" spans="1:13" x14ac:dyDescent="0.25">
      <c r="A35" s="89" t="s">
        <v>489</v>
      </c>
      <c r="B35" s="103" t="s">
        <v>190</v>
      </c>
      <c r="C35" s="105"/>
      <c r="D35" s="107">
        <f>'PLANILHA ORÇAMENTÁRIA'!N245</f>
        <v>2790.4780124999997</v>
      </c>
      <c r="E35" s="88">
        <f t="shared" si="0"/>
        <v>3.7999510886992278E-3</v>
      </c>
      <c r="F35" s="109"/>
      <c r="G35" s="65">
        <v>0</v>
      </c>
      <c r="H35" s="109"/>
      <c r="I35" s="65">
        <v>0</v>
      </c>
      <c r="J35" s="109"/>
      <c r="K35" s="65">
        <v>0</v>
      </c>
      <c r="L35" s="109">
        <v>100</v>
      </c>
      <c r="M35" s="65">
        <v>100</v>
      </c>
    </row>
    <row r="36" spans="1:13" x14ac:dyDescent="0.25">
      <c r="A36" s="86"/>
      <c r="B36" s="115" t="s">
        <v>81</v>
      </c>
      <c r="C36" s="116"/>
      <c r="D36" s="108"/>
      <c r="E36" s="108"/>
      <c r="F36" s="113">
        <f>2.34+0.54+21.1+1.1+0.24+13.49</f>
        <v>38.81</v>
      </c>
      <c r="G36" s="113">
        <v>38.81</v>
      </c>
      <c r="H36" s="113">
        <f>8.47+(1.12/2)+(0.36/2)+(9.13/2)+13.35+1.34+1.31+3.96</f>
        <v>33.734999999999999</v>
      </c>
      <c r="I36" s="113">
        <f>H36+G36</f>
        <v>72.545000000000002</v>
      </c>
      <c r="J36" s="113">
        <f>(1.12/2)+(0.36/2)+(9.13/2)+2.77+1.61+5.46</f>
        <v>15.145</v>
      </c>
      <c r="K36" s="113">
        <f>I36+J36</f>
        <v>87.69</v>
      </c>
      <c r="L36" s="113">
        <f>2.45+7.27+0.08+2.13+0.38</f>
        <v>12.31</v>
      </c>
      <c r="M36" s="113">
        <f>K36+L36</f>
        <v>100</v>
      </c>
    </row>
    <row r="37" spans="1:13" x14ac:dyDescent="0.25">
      <c r="A37" s="91"/>
      <c r="B37" s="92" t="s">
        <v>82</v>
      </c>
      <c r="C37" s="93"/>
      <c r="D37" s="94">
        <f>SUM(D13:D35)</f>
        <v>734345.77113339014</v>
      </c>
      <c r="E37" s="95">
        <f>SUM(E13:E35)</f>
        <v>1</v>
      </c>
      <c r="F37" s="67">
        <f>$D$37*(F36/100)</f>
        <v>284999.59377686871</v>
      </c>
      <c r="G37" s="67">
        <v>287330.34000000003</v>
      </c>
      <c r="H37" s="67">
        <f>$D$37*(H36/100)</f>
        <v>247731.54589184915</v>
      </c>
      <c r="I37" s="67">
        <f t="shared" ref="I37:K37" si="4">$D$37*(I36/100)</f>
        <v>532731.13966871786</v>
      </c>
      <c r="J37" s="67">
        <f t="shared" si="4"/>
        <v>111216.66703815194</v>
      </c>
      <c r="K37" s="67">
        <f t="shared" si="4"/>
        <v>643947.80670686986</v>
      </c>
      <c r="L37" s="67">
        <f t="shared" ref="L37" si="5">$D$37*(L36/100)</f>
        <v>90397.964426520324</v>
      </c>
      <c r="M37" s="67">
        <f>$D$37*(M36/100)</f>
        <v>734345.77113339014</v>
      </c>
    </row>
    <row r="38" spans="1:13" s="14" customFormat="1" x14ac:dyDescent="0.25">
      <c r="A38" s="96"/>
      <c r="B38" s="75"/>
      <c r="C38" s="75"/>
      <c r="D38" s="68"/>
      <c r="E38" s="68"/>
      <c r="F38" s="68"/>
      <c r="G38" s="68"/>
      <c r="H38" s="68"/>
      <c r="I38" s="68"/>
    </row>
    <row r="39" spans="1:13" s="14" customFormat="1" x14ac:dyDescent="0.25">
      <c r="A39" s="97" t="s">
        <v>108</v>
      </c>
      <c r="B39" s="97"/>
      <c r="C39" s="97"/>
      <c r="D39" s="68"/>
      <c r="E39" s="68"/>
      <c r="F39" s="98"/>
      <c r="G39" s="98"/>
      <c r="H39" s="98"/>
      <c r="I39" s="68"/>
    </row>
    <row r="40" spans="1:13" s="14" customFormat="1" ht="15" customHeight="1" x14ac:dyDescent="0.25">
      <c r="A40" s="75" t="s">
        <v>83</v>
      </c>
      <c r="B40" s="68"/>
      <c r="C40" s="68"/>
      <c r="D40" s="68"/>
      <c r="E40" s="68"/>
      <c r="F40" s="99" t="s">
        <v>107</v>
      </c>
      <c r="G40" s="99"/>
      <c r="H40" s="99"/>
      <c r="I40" s="100"/>
    </row>
    <row r="41" spans="1:13" s="14" customFormat="1" x14ac:dyDescent="0.25">
      <c r="A41" s="68"/>
      <c r="B41" s="75"/>
      <c r="C41" s="68"/>
      <c r="D41" s="68"/>
      <c r="E41" s="68"/>
      <c r="F41" s="75" t="s">
        <v>90</v>
      </c>
      <c r="G41" s="75"/>
      <c r="H41" s="75"/>
      <c r="I41" s="68"/>
    </row>
    <row r="42" spans="1:13" s="14" customFormat="1" x14ac:dyDescent="0.25"/>
    <row r="43" spans="1:13" s="14" customFormat="1" x14ac:dyDescent="0.25"/>
    <row r="44" spans="1:13" s="14" customFormat="1" x14ac:dyDescent="0.25"/>
    <row r="45" spans="1:13" s="14" customFormat="1" x14ac:dyDescent="0.25"/>
    <row r="46" spans="1:13" s="14" customFormat="1" x14ac:dyDescent="0.25"/>
    <row r="47" spans="1:13" s="14" customFormat="1" x14ac:dyDescent="0.25"/>
    <row r="48" spans="1:13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</sheetData>
  <mergeCells count="7">
    <mergeCell ref="B11:C11"/>
    <mergeCell ref="B12:C12"/>
    <mergeCell ref="A5:B5"/>
    <mergeCell ref="C5:F5"/>
    <mergeCell ref="G5:I5"/>
    <mergeCell ref="A8:B8"/>
    <mergeCell ref="C8:E8"/>
  </mergeCells>
  <phoneticPr fontId="15" type="noConversion"/>
  <conditionalFormatting sqref="D21">
    <cfRule type="expression" dxfId="17" priority="34" stopIfTrue="1">
      <formula>OR($G21="M",$G21="A")</formula>
    </cfRule>
  </conditionalFormatting>
  <conditionalFormatting sqref="D25">
    <cfRule type="expression" dxfId="16" priority="27" stopIfTrue="1">
      <formula>OR($G25="M",$G25="A")</formula>
    </cfRule>
  </conditionalFormatting>
  <conditionalFormatting sqref="F12:F27 H12:H27 J12:J27 L12:L27 H35 F35 J35 L35">
    <cfRule type="expression" dxfId="15" priority="322" stopIfTrue="1">
      <formula>OR($AQ12&lt;&gt;"A",E12&gt;99.9999)</formula>
    </cfRule>
    <cfRule type="expression" dxfId="14" priority="323" stopIfTrue="1">
      <formula>AND($AQ12="A")</formula>
    </cfRule>
  </conditionalFormatting>
  <conditionalFormatting sqref="F28:F31 H28:H31">
    <cfRule type="expression" dxfId="13" priority="21" stopIfTrue="1">
      <formula>OR($AQ28&lt;&gt;"A",E28&gt;99.9999)</formula>
    </cfRule>
    <cfRule type="expression" dxfId="12" priority="22" stopIfTrue="1">
      <formula>AND($AQ28="A")</formula>
    </cfRule>
  </conditionalFormatting>
  <conditionalFormatting sqref="H32:H34 F32:F34">
    <cfRule type="expression" dxfId="11" priority="15" stopIfTrue="1">
      <formula>OR($AQ32&lt;&gt;"A",E32&gt;99.9999)</formula>
    </cfRule>
    <cfRule type="expression" dxfId="10" priority="16" stopIfTrue="1">
      <formula>AND($AQ32="A")</formula>
    </cfRule>
  </conditionalFormatting>
  <conditionalFormatting sqref="J28:J31">
    <cfRule type="expression" dxfId="9" priority="9" stopIfTrue="1">
      <formula>OR($AQ28&lt;&gt;"A",I28&gt;99.9999)</formula>
    </cfRule>
    <cfRule type="expression" dxfId="8" priority="10" stopIfTrue="1">
      <formula>AND($AQ28="A")</formula>
    </cfRule>
  </conditionalFormatting>
  <conditionalFormatting sqref="J32:J34">
    <cfRule type="expression" dxfId="7" priority="7" stopIfTrue="1">
      <formula>OR($AQ32&lt;&gt;"A",I32&gt;99.9999)</formula>
    </cfRule>
    <cfRule type="expression" dxfId="6" priority="8" stopIfTrue="1">
      <formula>AND($AQ32="A")</formula>
    </cfRule>
  </conditionalFormatting>
  <conditionalFormatting sqref="L28:L31">
    <cfRule type="expression" dxfId="5" priority="3" stopIfTrue="1">
      <formula>OR($AQ28&lt;&gt;"A",K28&gt;99.9999)</formula>
    </cfRule>
    <cfRule type="expression" dxfId="4" priority="4" stopIfTrue="1">
      <formula>AND($AQ28="A")</formula>
    </cfRule>
  </conditionalFormatting>
  <conditionalFormatting sqref="L32:L34">
    <cfRule type="expression" dxfId="3" priority="1" stopIfTrue="1">
      <formula>OR($AQ32&lt;&gt;"A",K32&gt;99.9999)</formula>
    </cfRule>
    <cfRule type="expression" dxfId="2" priority="2" stopIfTrue="1">
      <formula>AND($AQ32="A")</formula>
    </cfRule>
  </conditionalFormatting>
  <dataValidations count="1">
    <dataValidation type="decimal" operator="lessThanOrEqual" allowBlank="1" showInputMessage="1" showErrorMessage="1" error="Soma das porcentagens maior que 100%" sqref="F12:M35" xr:uid="{00000000-0002-0000-0100-000000000000}">
      <formula1>IF($AQ12="A",100-$AO12+F12,0)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ORÇAMENTÁRIA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2022-06-03T14:18:54Z</cp:lastPrinted>
  <dcterms:created xsi:type="dcterms:W3CDTF">2022-04-27T14:41:19Z</dcterms:created>
  <dcterms:modified xsi:type="dcterms:W3CDTF">2022-07-11T12:28:33Z</dcterms:modified>
</cp:coreProperties>
</file>